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krylakis\Αντιπρόεδρος\Επιτροπές\3o ΕΙΣΕΠ\ΔΥΠΑ - τ. ΟΑΕΔ\2. ΓΔ Οικονομικών Υπηρεσιών\Για ανάρτηση - 3 Ιούλ. 2024\"/>
    </mc:Choice>
  </mc:AlternateContent>
  <xr:revisionPtr revIDLastSave="0" documentId="13_ncr:1_{31C147BF-EB7C-4292-8C54-BD0E8EC30065}" xr6:coauthVersionLast="36" xr6:coauthVersionMax="36" xr10:uidLastSave="{00000000-0000-0000-0000-000000000000}"/>
  <bookViews>
    <workbookView xWindow="0" yWindow="60" windowWidth="19440" windowHeight="10395" xr2:uid="{00000000-000D-0000-FFFF-FFFF00000000}"/>
  </bookViews>
  <sheets>
    <sheet name="ΟΙΚΟΝΟΜΙΚΩΝ ΥΠΗΡΕΣΙΩΝ" sheetId="7" r:id="rId1"/>
  </sheets>
  <definedNames>
    <definedName name="_xlnm._FilterDatabase" localSheetId="0" hidden="1">'ΟΙΚΟΝΟΜΙΚΩΝ ΥΠΗΡΕΣΙΩΝ'!$A$2:$BP$12</definedName>
    <definedName name="_xlnm.Print_Area" localSheetId="0">'ΟΙΚΟΝΟΜΙΚΩΝ ΥΠΗΡΕΣΙΩΝ'!$A$1:$BO$12</definedName>
  </definedNames>
  <calcPr calcId="191029"/>
</workbook>
</file>

<file path=xl/calcChain.xml><?xml version="1.0" encoding="utf-8"?>
<calcChain xmlns="http://schemas.openxmlformats.org/spreadsheetml/2006/main">
  <c r="L4" i="7" l="1"/>
  <c r="N4" i="7"/>
  <c r="P4" i="7"/>
  <c r="R4" i="7"/>
  <c r="T4" i="7"/>
  <c r="V4" i="7"/>
  <c r="Y4" i="7"/>
  <c r="AA4" i="7"/>
  <c r="AC4" i="7"/>
  <c r="AE4" i="7"/>
  <c r="AH4" i="7"/>
  <c r="AI4" i="7" s="1"/>
  <c r="AK4" i="7"/>
  <c r="AM4" i="7"/>
  <c r="AO4" i="7"/>
  <c r="AR4" i="7"/>
  <c r="AV4" i="7"/>
  <c r="AW4" i="7" s="1"/>
  <c r="BK4" i="7"/>
  <c r="BL4" i="7"/>
  <c r="BM4" i="7"/>
  <c r="BN4" i="7" s="1"/>
  <c r="AP4" i="7" l="1"/>
  <c r="W4" i="7"/>
  <c r="BE4" i="7"/>
  <c r="AS4" i="7"/>
  <c r="AT4" i="7" s="1"/>
  <c r="AF4" i="7"/>
  <c r="BD4" i="7"/>
  <c r="D4" i="7" l="1"/>
  <c r="E4" i="7" s="1"/>
  <c r="AZ4" i="7"/>
  <c r="BA4" i="7" s="1"/>
  <c r="F4" i="7"/>
  <c r="BO4" i="7" l="1"/>
  <c r="G4" i="7" s="1"/>
  <c r="H4" i="7" s="1"/>
  <c r="I4" i="7" s="1"/>
  <c r="J4" i="7" s="1"/>
  <c r="BM11" i="7"/>
  <c r="BL11" i="7"/>
  <c r="BK11" i="7"/>
  <c r="AV11" i="7"/>
  <c r="AW11" i="7" s="1"/>
  <c r="AR11" i="7"/>
  <c r="AO11" i="7"/>
  <c r="AM11" i="7"/>
  <c r="AK11" i="7"/>
  <c r="AH11" i="7"/>
  <c r="AI11" i="7" s="1"/>
  <c r="AE11" i="7"/>
  <c r="AC11" i="7"/>
  <c r="AA11" i="7"/>
  <c r="Y11" i="7"/>
  <c r="V11" i="7"/>
  <c r="T11" i="7"/>
  <c r="R11" i="7"/>
  <c r="P11" i="7"/>
  <c r="N11" i="7"/>
  <c r="L11" i="7"/>
  <c r="BM10" i="7"/>
  <c r="BL10" i="7"/>
  <c r="BK10" i="7"/>
  <c r="AV10" i="7"/>
  <c r="AW10" i="7" s="1"/>
  <c r="AR10" i="7"/>
  <c r="AO10" i="7"/>
  <c r="AM10" i="7"/>
  <c r="AK10" i="7"/>
  <c r="AH10" i="7"/>
  <c r="AI10" i="7" s="1"/>
  <c r="AE10" i="7"/>
  <c r="AC10" i="7"/>
  <c r="AA10" i="7"/>
  <c r="Y10" i="7"/>
  <c r="V10" i="7"/>
  <c r="T10" i="7"/>
  <c r="R10" i="7"/>
  <c r="P10" i="7"/>
  <c r="N10" i="7"/>
  <c r="L10" i="7"/>
  <c r="BM9" i="7"/>
  <c r="BL9" i="7"/>
  <c r="BK9" i="7"/>
  <c r="AV9" i="7"/>
  <c r="AW9" i="7" s="1"/>
  <c r="AR9" i="7"/>
  <c r="AO9" i="7"/>
  <c r="AM9" i="7"/>
  <c r="AK9" i="7"/>
  <c r="AH9" i="7"/>
  <c r="AI9" i="7" s="1"/>
  <c r="AE9" i="7"/>
  <c r="AC9" i="7"/>
  <c r="AA9" i="7"/>
  <c r="Y9" i="7"/>
  <c r="V9" i="7"/>
  <c r="T9" i="7"/>
  <c r="R9" i="7"/>
  <c r="P9" i="7"/>
  <c r="N9" i="7"/>
  <c r="L9" i="7"/>
  <c r="BM7" i="7"/>
  <c r="BL7" i="7"/>
  <c r="BK7" i="7"/>
  <c r="AV7" i="7"/>
  <c r="AR7" i="7"/>
  <c r="AO7" i="7"/>
  <c r="AM7" i="7"/>
  <c r="AK7" i="7"/>
  <c r="AH7" i="7"/>
  <c r="AI7" i="7" s="1"/>
  <c r="AE7" i="7"/>
  <c r="AC7" i="7"/>
  <c r="AA7" i="7"/>
  <c r="Y7" i="7"/>
  <c r="V7" i="7"/>
  <c r="T7" i="7"/>
  <c r="R7" i="7"/>
  <c r="P7" i="7"/>
  <c r="N7" i="7"/>
  <c r="L7" i="7"/>
  <c r="BM5" i="7"/>
  <c r="BN5" i="7" s="1"/>
  <c r="BL5" i="7"/>
  <c r="BK5" i="7"/>
  <c r="AV5" i="7"/>
  <c r="AW5" i="7" s="1"/>
  <c r="AR5" i="7"/>
  <c r="AO5" i="7"/>
  <c r="AM5" i="7"/>
  <c r="AK5" i="7"/>
  <c r="AH5" i="7"/>
  <c r="AI5" i="7" s="1"/>
  <c r="AE5" i="7"/>
  <c r="AC5" i="7"/>
  <c r="AA5" i="7"/>
  <c r="Y5" i="7"/>
  <c r="V5" i="7"/>
  <c r="T5" i="7"/>
  <c r="R5" i="7"/>
  <c r="P5" i="7"/>
  <c r="N5" i="7"/>
  <c r="L5" i="7"/>
  <c r="BM8" i="7"/>
  <c r="BN8" i="7" s="1"/>
  <c r="BL8" i="7"/>
  <c r="BK8" i="7"/>
  <c r="AR8" i="7"/>
  <c r="AO8" i="7"/>
  <c r="AM8" i="7"/>
  <c r="AK8" i="7"/>
  <c r="AH8" i="7"/>
  <c r="AI8" i="7" s="1"/>
  <c r="AE8" i="7"/>
  <c r="AC8" i="7"/>
  <c r="AA8" i="7"/>
  <c r="Y8" i="7"/>
  <c r="V8" i="7"/>
  <c r="T8" i="7"/>
  <c r="R8" i="7"/>
  <c r="P8" i="7"/>
  <c r="N8" i="7"/>
  <c r="L8" i="7"/>
  <c r="BM3" i="7"/>
  <c r="BL3" i="7"/>
  <c r="AV3" i="7"/>
  <c r="AW3" i="7" s="1"/>
  <c r="AR3" i="7"/>
  <c r="AO3" i="7"/>
  <c r="AM3" i="7"/>
  <c r="AK3" i="7"/>
  <c r="AH3" i="7"/>
  <c r="AI3" i="7" s="1"/>
  <c r="AE3" i="7"/>
  <c r="AC3" i="7"/>
  <c r="AA3" i="7"/>
  <c r="Y3" i="7"/>
  <c r="V3" i="7"/>
  <c r="T3" i="7"/>
  <c r="R3" i="7"/>
  <c r="P3" i="7"/>
  <c r="N3" i="7"/>
  <c r="L3" i="7"/>
  <c r="AF5" i="7" l="1"/>
  <c r="AF7" i="7"/>
  <c r="AS5" i="7"/>
  <c r="AT5" i="7" s="1"/>
  <c r="W7" i="7"/>
  <c r="W9" i="7"/>
  <c r="W11" i="7"/>
  <c r="AP9" i="7"/>
  <c r="AP10" i="7"/>
  <c r="BD11" i="7"/>
  <c r="AP11" i="7"/>
  <c r="AP8" i="7"/>
  <c r="W3" i="7"/>
  <c r="AF8" i="7"/>
  <c r="BE5" i="7"/>
  <c r="AP7" i="7"/>
  <c r="W10" i="7"/>
  <c r="AP3" i="7"/>
  <c r="BE8" i="7"/>
  <c r="AP5" i="7"/>
  <c r="BE7" i="7"/>
  <c r="AF10" i="7"/>
  <c r="AF3" i="7"/>
  <c r="AS8" i="7"/>
  <c r="AT8" i="7" s="1"/>
  <c r="W5" i="7"/>
  <c r="AF9" i="7"/>
  <c r="AF11" i="7"/>
  <c r="W8" i="7"/>
  <c r="BD9" i="7"/>
  <c r="BD3" i="7"/>
  <c r="BE3" i="7" s="1"/>
  <c r="BD7" i="7"/>
  <c r="BN3" i="7"/>
  <c r="AS3" i="7" s="1"/>
  <c r="AT3" i="7" s="1"/>
  <c r="BD8" i="7"/>
  <c r="BD5" i="7"/>
  <c r="BN7" i="7"/>
  <c r="AS7" i="7" s="1"/>
  <c r="AT7" i="7" s="1"/>
  <c r="BN9" i="7"/>
  <c r="AS9" i="7" s="1"/>
  <c r="AT9" i="7" s="1"/>
  <c r="BN10" i="7"/>
  <c r="AS10" i="7" s="1"/>
  <c r="AT10" i="7" s="1"/>
  <c r="BN11" i="7"/>
  <c r="AS11" i="7" s="1"/>
  <c r="AT11" i="7" s="1"/>
  <c r="BD10" i="7"/>
  <c r="BE9" i="7"/>
  <c r="BE10" i="7"/>
  <c r="BE11" i="7"/>
  <c r="D7" i="7" l="1"/>
  <c r="D9" i="7"/>
  <c r="E9" i="7" s="1"/>
  <c r="D11" i="7"/>
  <c r="F11" i="7" s="1"/>
  <c r="AZ11" i="7"/>
  <c r="BA11" i="7" s="1"/>
  <c r="BO11" i="7" s="1"/>
  <c r="G11" i="7" s="1"/>
  <c r="H11" i="7" s="1"/>
  <c r="I11" i="7" s="1"/>
  <c r="AZ7" i="7"/>
  <c r="BA7" i="7" s="1"/>
  <c r="BO7" i="7" s="1"/>
  <c r="G7" i="7" s="1"/>
  <c r="H7" i="7" s="1"/>
  <c r="I7" i="7" s="1"/>
  <c r="D8" i="7"/>
  <c r="F8" i="7" s="1"/>
  <c r="D3" i="7"/>
  <c r="E3" i="7" s="1"/>
  <c r="AZ10" i="7"/>
  <c r="BA10" i="7" s="1"/>
  <c r="BO10" i="7" s="1"/>
  <c r="G10" i="7" s="1"/>
  <c r="H10" i="7" s="1"/>
  <c r="I10" i="7" s="1"/>
  <c r="D5" i="7"/>
  <c r="E5" i="7" s="1"/>
  <c r="AZ9" i="7"/>
  <c r="BA9" i="7" s="1"/>
  <c r="BO9" i="7" s="1"/>
  <c r="G9" i="7" s="1"/>
  <c r="H9" i="7" s="1"/>
  <c r="I9" i="7" s="1"/>
  <c r="D10" i="7"/>
  <c r="E7" i="7"/>
  <c r="F7" i="7"/>
  <c r="AZ3" i="7"/>
  <c r="BA3" i="7" s="1"/>
  <c r="BO3" i="7" s="1"/>
  <c r="G3" i="7" s="1"/>
  <c r="H3" i="7" s="1"/>
  <c r="I3" i="7" s="1"/>
  <c r="F9" i="7"/>
  <c r="AZ5" i="7"/>
  <c r="AZ8" i="7"/>
  <c r="BA8" i="7" s="1"/>
  <c r="BO8" i="7" s="1"/>
  <c r="G8" i="7" s="1"/>
  <c r="H8" i="7" s="1"/>
  <c r="I8" i="7" s="1"/>
  <c r="E11" i="7" l="1"/>
  <c r="F5" i="7"/>
  <c r="J8" i="7"/>
  <c r="F3" i="7"/>
  <c r="J3" i="7" s="1"/>
  <c r="E8" i="7"/>
  <c r="F10" i="7"/>
  <c r="J10" i="7" s="1"/>
  <c r="E10" i="7"/>
  <c r="BA5" i="7"/>
  <c r="BO5" i="7" s="1"/>
  <c r="G5" i="7" s="1"/>
  <c r="H5" i="7" s="1"/>
  <c r="I5" i="7" s="1"/>
  <c r="J11" i="7"/>
  <c r="J7" i="7"/>
  <c r="J9" i="7"/>
  <c r="J5" i="7" l="1"/>
  <c r="BM12" i="7" l="1"/>
  <c r="BN12" i="7" s="1"/>
  <c r="BL12" i="7"/>
  <c r="BK12" i="7"/>
  <c r="AV12" i="7"/>
  <c r="AW12" i="7" s="1"/>
  <c r="AR12" i="7"/>
  <c r="AO12" i="7"/>
  <c r="AM12" i="7"/>
  <c r="AK12" i="7"/>
  <c r="AH12" i="7"/>
  <c r="AI12" i="7" s="1"/>
  <c r="AE12" i="7"/>
  <c r="AC12" i="7"/>
  <c r="AA12" i="7"/>
  <c r="Y12" i="7"/>
  <c r="V12" i="7"/>
  <c r="T12" i="7"/>
  <c r="R12" i="7"/>
  <c r="P12" i="7"/>
  <c r="N12" i="7"/>
  <c r="L12" i="7"/>
  <c r="BM6" i="7"/>
  <c r="BN6" i="7" s="1"/>
  <c r="BL6" i="7"/>
  <c r="BK6" i="7"/>
  <c r="AV6" i="7"/>
  <c r="AW6" i="7" s="1"/>
  <c r="AR6" i="7"/>
  <c r="AO6" i="7"/>
  <c r="AM6" i="7"/>
  <c r="AK6" i="7"/>
  <c r="AH6" i="7"/>
  <c r="AI6" i="7" s="1"/>
  <c r="AE6" i="7"/>
  <c r="AC6" i="7"/>
  <c r="AA6" i="7"/>
  <c r="Y6" i="7"/>
  <c r="V6" i="7"/>
  <c r="T6" i="7"/>
  <c r="R6" i="7"/>
  <c r="P6" i="7"/>
  <c r="N6" i="7"/>
  <c r="L6" i="7"/>
  <c r="AS12" i="7" l="1"/>
  <c r="AT12" i="7" s="1"/>
  <c r="AP6" i="7"/>
  <c r="AF6" i="7"/>
  <c r="BE6" i="7"/>
  <c r="AF12" i="7"/>
  <c r="AS6" i="7"/>
  <c r="AT6" i="7" s="1"/>
  <c r="AP12" i="7"/>
  <c r="BE12" i="7"/>
  <c r="BD12" i="7"/>
  <c r="W12" i="7"/>
  <c r="W6" i="7"/>
  <c r="BD6" i="7"/>
  <c r="D6" i="7" l="1"/>
  <c r="F6" i="7" s="1"/>
  <c r="AZ6" i="7"/>
  <c r="BA6" i="7" s="1"/>
  <c r="BO6" i="7" s="1"/>
  <c r="G6" i="7" s="1"/>
  <c r="H6" i="7" s="1"/>
  <c r="I6" i="7" s="1"/>
  <c r="D12" i="7"/>
  <c r="E12" i="7" s="1"/>
  <c r="AZ12" i="7"/>
  <c r="BA12" i="7" s="1"/>
  <c r="BO12" i="7" s="1"/>
  <c r="G12" i="7" s="1"/>
  <c r="H12" i="7" s="1"/>
  <c r="I12" i="7" s="1"/>
  <c r="E6" i="7" l="1"/>
  <c r="F12" i="7"/>
  <c r="J12" i="7" s="1"/>
  <c r="J6" i="7"/>
</calcChain>
</file>

<file path=xl/sharedStrings.xml><?xml version="1.0" encoding="utf-8"?>
<sst xmlns="http://schemas.openxmlformats.org/spreadsheetml/2006/main" count="73" uniqueCount="72">
  <si>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</si>
  <si>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</si>
  <si>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</si>
  <si>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</si>
  <si>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</si>
  <si>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</si>
  <si>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ΑΠΟΦΟΙΤΗΣΗ ΑΠΌ ΕΣΔΔΑ</t>
  </si>
  <si>
    <t>ΓΝΩΣΗ ΞΕΝΗΣ ΓΛΩΣΣΑΣ ΑΡΙΣΤΗ</t>
  </si>
  <si>
    <t>ΓΝΩΣΗ ΞΕΝΗΣ ΓΛΩΣΣΑΣ ΠΟΛΎ ΚΑΛΗ</t>
  </si>
  <si>
    <t>ΓΝΩΣΗ ΞΕΝΗΣ ΓΛΩΣΣΑΣ ΚΑΛΗ</t>
  </si>
  <si>
    <t>ΜΑΧ ΑΠΌ ΞΕΝΗ ΓΛΩΣΣΑ</t>
  </si>
  <si>
    <t>ΠΙΣΤΟΠΟΙΗΜΕΝΗ ΕΠΙΜΟΡΦΩΣΗ</t>
  </si>
  <si>
    <t>MAX ΑΠΌ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</si>
  <si>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</si>
  <si>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</si>
  <si>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</si>
  <si>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</si>
  <si>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</si>
  <si>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ΜΑΧ ΑΠΌ ΠΜΣ</t>
  </si>
  <si>
    <t>ΠΡΩΤΟ ΜΗ ΣΥΝΑΦΕΣ ΠΜΣ</t>
  </si>
  <si>
    <t>ΜΗ ΣΥΝΑΦΕΣ ΔΙΔΑΚΤΟΡΙΚΟ ΔΙΠΛΩΜΑ</t>
  </si>
  <si>
    <t>ΛΟΙΠΑ ΔΙΔΑΚΤΟΡΙΚΑ ΔΙΠΛΩΜΑΤΑ</t>
  </si>
  <si>
    <t>ΜΑΧ ΑΠΌ ΔΙΔΑΚΤΟΡΙΚΑ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</si>
  <si>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</si>
  <si>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</si>
  <si>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</si>
  <si>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</si>
  <si>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</si>
  <si>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</si>
  <si>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</si>
  <si>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</si>
  <si>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</si>
  <si>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</si>
  <si>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</si>
  <si>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</si>
  <si>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</si>
  <si>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</si>
  <si>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</si>
  <si>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</si>
  <si>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</si>
  <si>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</si>
  <si>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</si>
  <si>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</si>
  <si>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</si>
  <si>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</si>
  <si>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</si>
  <si>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ΣΤΥΛΙΑΝΟΣ</t>
  </si>
  <si>
    <t xml:space="preserve">ΓΙΑΝΝΑΚΟΣ </t>
  </si>
  <si>
    <t xml:space="preserve">ΙΩΑΝΝΗΣ </t>
  </si>
  <si>
    <t xml:space="preserve">ΙΑΚΩΒΙΔΗΣ </t>
  </si>
  <si>
    <t xml:space="preserve">ΚΛΑΔΗΣ </t>
  </si>
  <si>
    <t xml:space="preserve">ΣΤΑΜΟΥ </t>
  </si>
  <si>
    <t>ΓΕΡΟΣΤΑΘΟΥ</t>
  </si>
  <si>
    <t>ΑΝΑΣΤΑΣΙΑ</t>
  </si>
  <si>
    <t xml:space="preserve">ΓΕΩΡΓΙΟΥ </t>
  </si>
  <si>
    <t>ΓΕΩΡΓΙΟΣ</t>
  </si>
  <si>
    <t xml:space="preserve">ΑΛΕΞΑΝΔΡΟΣ </t>
  </si>
  <si>
    <t>ΠΙΠΕΡΑΚΗ</t>
  </si>
  <si>
    <t xml:space="preserve">ΑΝΔΡΟΜΑΧΗ </t>
  </si>
  <si>
    <t>ΤΣΑΡΙΔΟΥ</t>
  </si>
  <si>
    <t xml:space="preserve">ΔΕΣΠΟΙΝΑ </t>
  </si>
  <si>
    <t>ΔΗΜΗΤΡΙΟΣ</t>
  </si>
  <si>
    <t>ΚΑΝΕΛΛΙΔΗΣ</t>
  </si>
  <si>
    <t xml:space="preserve">ΜΠΑΓΡΗΣ </t>
  </si>
  <si>
    <t xml:space="preserve">ΒΑΣΙΛΕΙΟΣ </t>
  </si>
  <si>
    <t>ΒΑΘΜΟΛΟΓΙΑ Α΄ (max 1.000)</t>
  </si>
  <si>
    <t>33% * A΄</t>
  </si>
  <si>
    <t>ΒΑΘΜΟΛΟΓΙΑ Β΄</t>
  </si>
  <si>
    <t>ΒΑΘΜΟΛΟΓΙΑ Β΄ (max 1.000)</t>
  </si>
  <si>
    <t>33% * B΄</t>
  </si>
  <si>
    <t>ΣΥΝΟΛΙΚΗ ΒΑΘΜΟΛΟΓΙΑ 
Α΄ΚΑΙ Β΄</t>
  </si>
  <si>
    <t>Προσωρινός Πίνακας Κατάταξης υποψηφίων της Γενικής Διεύθυνσης                                             Οικονομικών Υπηρεσιών της Δ.ΥΠ.Α.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</si>
</sst>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;[Red]0.000"/>
  </numFmts>
  <fonts count="7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sz val="11"/>
      <name val="Arial Narrow"/>
      <family val="2"/>
      <charset val="161"/>
    </font>
    <font>
      <b/>
      <sz val="16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Arial Narrow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2" borderId="0" xfId="0" applyFont="1" applyFill="1"/>
    <xf numFmtId="0" fontId="3" fillId="0" borderId="1" xfId="0" applyFont="1" applyBorder="1"/>
    <xf numFmtId="0" fontId="3" fillId="0" borderId="0" xfId="0" applyFont="1"/>
    <xf numFmtId="0" fontId="1" fillId="2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1" xfId="0" applyFont="1" applyFill="1" applyBorder="1" applyAlignment="1">
      <alignment horizontal="center" wrapText="1"/>
    </xf>
    <xf numFmtId="0" fontId="2" fillId="2" borderId="1" xfId="0" applyFont="1" applyFill="1" applyBorder="1"/>
    <xf numFmtId="0" fontId="0" fillId="0" borderId="0" xfId="0" applyFill="1"/>
    <xf numFmtId="0" fontId="2" fillId="3" borderId="1" xfId="0" applyFont="1" applyFill="1" applyBorder="1"/>
    <xf numFmtId="0" fontId="0" fillId="3" borderId="0" xfId="0" applyFill="1"/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/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center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horizontal="center"/>
    </xf>
    <xf numFmtId="0" fontId="4" fillId="4" borderId="5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P12"/>
  <sheetViews>
    <sheetView tabSelected="1" zoomScaleNormal="100" workbookViewId="0">
      <selection activeCell="M5" sqref="M5"/>
    </sheetView>
  </sheetViews>
  <sheetFormatPr defaultRowHeight="15" x14ac:dyDescent="0.25"/>
  <cols>
    <col min="1" max="1" width="6.7109375" customWidth="1"/>
    <col min="2" max="2" width="18" customWidth="1"/>
    <col min="3" max="3" width="17.7109375" bestFit="1" customWidth="1"/>
    <col min="4" max="4" width="12.7109375" customWidth="1"/>
    <col min="5" max="5" width="11.140625" customWidth="1"/>
    <col min="6" max="6" width="9.140625" customWidth="1"/>
    <col min="7" max="7" width="12.7109375" customWidth="1"/>
    <col min="8" max="8" width="11.85546875" customWidth="1"/>
    <col min="9" max="9" width="9.140625" customWidth="1"/>
    <col min="10" max="10" width="16.42578125" customWidth="1"/>
    <col min="11" max="11" width="6.42578125" style="16" customWidth="1"/>
    <col min="12" max="12" width="6.42578125" customWidth="1"/>
    <col min="13" max="13" width="6.42578125" style="16" customWidth="1"/>
    <col min="14" max="14" width="6.42578125" customWidth="1"/>
    <col min="15" max="15" width="6.42578125" style="16" customWidth="1"/>
    <col min="16" max="16" width="6.42578125" customWidth="1"/>
    <col min="17" max="17" width="6.42578125" style="16" customWidth="1"/>
    <col min="18" max="18" width="6.42578125" customWidth="1"/>
    <col min="19" max="19" width="13.85546875" style="16" customWidth="1"/>
    <col min="20" max="20" width="2" bestFit="1" customWidth="1"/>
    <col min="21" max="21" width="13.85546875" style="16" customWidth="1"/>
    <col min="22" max="22" width="2" bestFit="1" customWidth="1"/>
    <col min="23" max="23" width="18.42578125" bestFit="1" customWidth="1"/>
    <col min="24" max="24" width="5.28515625" style="16" customWidth="1"/>
    <col min="25" max="25" width="5.28515625" customWidth="1"/>
    <col min="26" max="26" width="5.28515625" style="16" customWidth="1"/>
    <col min="27" max="27" width="5.28515625" customWidth="1"/>
    <col min="28" max="28" width="5.28515625" style="16" customWidth="1"/>
    <col min="29" max="29" width="5.28515625" customWidth="1"/>
    <col min="30" max="30" width="5.28515625" style="16" customWidth="1"/>
    <col min="31" max="32" width="5.28515625" customWidth="1"/>
    <col min="33" max="33" width="5.28515625" style="16" customWidth="1"/>
    <col min="34" max="34" width="9.42578125" customWidth="1"/>
    <col min="35" max="35" width="10.28515625" customWidth="1"/>
    <col min="36" max="36" width="5.28515625" style="16" customWidth="1"/>
    <col min="37" max="37" width="8" customWidth="1"/>
    <col min="38" max="38" width="5.28515625" style="16" customWidth="1"/>
    <col min="39" max="39" width="8.85546875" customWidth="1"/>
    <col min="40" max="40" width="5.5703125" style="16" customWidth="1"/>
    <col min="41" max="41" width="6.85546875" customWidth="1"/>
    <col min="42" max="42" width="10.42578125" bestFit="1" customWidth="1"/>
    <col min="43" max="43" width="13" style="16" bestFit="1" customWidth="1"/>
    <col min="44" max="44" width="13" bestFit="1" customWidth="1"/>
    <col min="45" max="45" width="23.5703125" bestFit="1" customWidth="1"/>
    <col min="46" max="46" width="11.5703125" bestFit="1" customWidth="1"/>
    <col min="47" max="47" width="5.5703125" style="16" customWidth="1"/>
    <col min="48" max="48" width="10.7109375" customWidth="1"/>
    <col min="49" max="49" width="14.85546875" bestFit="1" customWidth="1"/>
    <col min="50" max="50" width="12.42578125" style="16" bestFit="1" customWidth="1"/>
    <col min="51" max="51" width="13.140625" style="16" bestFit="1" customWidth="1"/>
    <col min="52" max="53" width="15" style="14" bestFit="1" customWidth="1"/>
    <col min="54" max="54" width="13.42578125" style="16" bestFit="1" customWidth="1"/>
    <col min="55" max="55" width="15" style="16" bestFit="1" customWidth="1"/>
    <col min="56" max="56" width="14" style="14" bestFit="1" customWidth="1"/>
    <col min="57" max="57" width="15" style="14" bestFit="1" customWidth="1"/>
    <col min="58" max="58" width="14.7109375" style="16" bestFit="1" customWidth="1"/>
    <col min="59" max="59" width="15.85546875" style="16" bestFit="1" customWidth="1"/>
    <col min="60" max="60" width="21.140625" bestFit="1" customWidth="1"/>
    <col min="61" max="61" width="18.28515625" bestFit="1" customWidth="1"/>
    <col min="62" max="62" width="18.42578125" bestFit="1" customWidth="1"/>
    <col min="63" max="64" width="18.28515625" bestFit="1" customWidth="1"/>
    <col min="65" max="65" width="16.42578125" bestFit="1" customWidth="1"/>
    <col min="66" max="67" width="13.85546875" customWidth="1"/>
    <col min="68" max="68" width="17.7109375" customWidth="1"/>
  </cols>
  <sheetData>
    <row r="1" spans="1:68" ht="57" customHeight="1" x14ac:dyDescent="0.25">
      <c r="A1" s="34" t="s">
        <v>71</v>
      </c>
      <c r="B1" s="35"/>
      <c r="C1" s="35"/>
      <c r="D1" s="35"/>
      <c r="E1" s="35"/>
      <c r="F1" s="35"/>
      <c r="G1" s="35"/>
      <c r="H1" s="35"/>
      <c r="I1" s="35"/>
      <c r="J1" s="35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</row>
    <row r="2" spans="1:68" s="5" customFormat="1" ht="65.25" customHeight="1" x14ac:dyDescent="0.3">
      <c r="A2" s="24" t="s">
        <v>0</v>
      </c>
      <c r="B2" s="24" t="s">
        <v>14</v>
      </c>
      <c r="C2" s="24" t="s">
        <v>15</v>
      </c>
      <c r="D2" s="25" t="s">
        <v>1</v>
      </c>
      <c r="E2" s="25" t="s">
        <v>65</v>
      </c>
      <c r="F2" s="10" t="s">
        <v>66</v>
      </c>
      <c r="G2" s="25" t="s">
        <v>67</v>
      </c>
      <c r="H2" s="25" t="s">
        <v>68</v>
      </c>
      <c r="I2" s="26" t="s">
        <v>69</v>
      </c>
      <c r="J2" s="27" t="s">
        <v>70</v>
      </c>
      <c r="K2" s="38" t="s">
        <v>2</v>
      </c>
      <c r="L2" s="39"/>
      <c r="M2" s="38" t="s">
        <v>3</v>
      </c>
      <c r="N2" s="39"/>
      <c r="O2" s="38" t="s">
        <v>5</v>
      </c>
      <c r="P2" s="39"/>
      <c r="Q2" s="38" t="s">
        <v>19</v>
      </c>
      <c r="R2" s="39"/>
      <c r="S2" s="38" t="s">
        <v>16</v>
      </c>
      <c r="T2" s="39"/>
      <c r="U2" s="38" t="s">
        <v>17</v>
      </c>
      <c r="V2" s="39"/>
      <c r="W2" s="8" t="s">
        <v>18</v>
      </c>
      <c r="X2" s="38" t="s">
        <v>6</v>
      </c>
      <c r="Y2" s="39"/>
      <c r="Z2" s="38" t="s">
        <v>4</v>
      </c>
      <c r="AA2" s="39"/>
      <c r="AB2" s="38" t="s">
        <v>20</v>
      </c>
      <c r="AC2" s="39"/>
      <c r="AD2" s="38" t="s">
        <v>21</v>
      </c>
      <c r="AE2" s="39"/>
      <c r="AF2" s="8" t="s">
        <v>22</v>
      </c>
      <c r="AG2" s="36" t="s">
        <v>11</v>
      </c>
      <c r="AH2" s="37"/>
      <c r="AI2" s="10" t="s">
        <v>12</v>
      </c>
      <c r="AJ2" s="36" t="s">
        <v>7</v>
      </c>
      <c r="AK2" s="37"/>
      <c r="AL2" s="36" t="s">
        <v>8</v>
      </c>
      <c r="AM2" s="37"/>
      <c r="AN2" s="36" t="s">
        <v>9</v>
      </c>
      <c r="AO2" s="37"/>
      <c r="AP2" s="10" t="s">
        <v>10</v>
      </c>
      <c r="AQ2" s="17" t="s">
        <v>23</v>
      </c>
      <c r="AR2" s="10" t="s">
        <v>35</v>
      </c>
      <c r="AS2" s="10" t="s">
        <v>39</v>
      </c>
      <c r="AT2" s="19" t="s">
        <v>34</v>
      </c>
      <c r="AU2" s="38" t="s">
        <v>24</v>
      </c>
      <c r="AV2" s="39"/>
      <c r="AW2" s="8" t="s">
        <v>13</v>
      </c>
      <c r="AX2" s="18" t="s">
        <v>25</v>
      </c>
      <c r="AY2" s="18" t="s">
        <v>26</v>
      </c>
      <c r="AZ2" s="12" t="s">
        <v>40</v>
      </c>
      <c r="BA2" s="12" t="s">
        <v>41</v>
      </c>
      <c r="BB2" s="18" t="s">
        <v>27</v>
      </c>
      <c r="BC2" s="18" t="s">
        <v>28</v>
      </c>
      <c r="BD2" s="12" t="s">
        <v>42</v>
      </c>
      <c r="BE2" s="12" t="s">
        <v>43</v>
      </c>
      <c r="BF2" s="18" t="s">
        <v>29</v>
      </c>
      <c r="BG2" s="18" t="s">
        <v>30</v>
      </c>
      <c r="BH2" s="12" t="s">
        <v>31</v>
      </c>
      <c r="BI2" s="12" t="s">
        <v>32</v>
      </c>
      <c r="BJ2" s="12" t="s">
        <v>33</v>
      </c>
      <c r="BK2" s="12" t="s">
        <v>44</v>
      </c>
      <c r="BL2" s="12" t="s">
        <v>45</v>
      </c>
      <c r="BM2" s="12" t="s">
        <v>36</v>
      </c>
      <c r="BN2" s="12" t="s">
        <v>37</v>
      </c>
      <c r="BO2" s="12" t="s">
        <v>38</v>
      </c>
      <c r="BP2" s="13"/>
    </row>
    <row r="3" spans="1:68" s="1" customFormat="1" ht="16.5" x14ac:dyDescent="0.3">
      <c r="A3" s="21">
        <v>1</v>
      </c>
      <c r="B3" s="22" t="s">
        <v>50</v>
      </c>
      <c r="C3" s="22" t="s">
        <v>46</v>
      </c>
      <c r="D3" s="28">
        <f>IF((L3+N3+W3+Y3+AF3+AI3+AP3)&gt;1000,1000,L3+N3+W3+Y3+AF3+AI3+AP3)</f>
        <v>370</v>
      </c>
      <c r="E3" s="28">
        <f>IF(D3&gt;1000,1000,D3)</f>
        <v>370</v>
      </c>
      <c r="F3" s="28">
        <f>D3*33%</f>
        <v>122.10000000000001</v>
      </c>
      <c r="G3" s="28">
        <f>AT3+AV3+BO3</f>
        <v>1074</v>
      </c>
      <c r="H3" s="28">
        <f>IF(G3&gt;1000,1000,G3)</f>
        <v>1000</v>
      </c>
      <c r="I3" s="28">
        <f>H3*33%</f>
        <v>330</v>
      </c>
      <c r="J3" s="29">
        <f>F3+I3</f>
        <v>452.1</v>
      </c>
      <c r="K3" s="15">
        <v>1</v>
      </c>
      <c r="L3" s="2">
        <f>K3*100</f>
        <v>100</v>
      </c>
      <c r="M3" s="15"/>
      <c r="N3" s="2">
        <f>M3*30</f>
        <v>0</v>
      </c>
      <c r="O3" s="15">
        <v>1</v>
      </c>
      <c r="P3" s="2">
        <f>O3*200</f>
        <v>200</v>
      </c>
      <c r="Q3" s="15"/>
      <c r="R3" s="2">
        <f>Q3*70</f>
        <v>0</v>
      </c>
      <c r="S3" s="15"/>
      <c r="T3" s="2">
        <f>S3*150</f>
        <v>0</v>
      </c>
      <c r="U3" s="15"/>
      <c r="V3" s="2">
        <f>IF(U3&gt;0,50,U3)</f>
        <v>0</v>
      </c>
      <c r="W3" s="2">
        <f>IF((P3+R3+T3+V3)&gt;250,250,P3+R3+T3+V3)</f>
        <v>200</v>
      </c>
      <c r="X3" s="15"/>
      <c r="Y3" s="2">
        <f>X3*275</f>
        <v>0</v>
      </c>
      <c r="Z3" s="15"/>
      <c r="AA3" s="2">
        <f>Z3*350</f>
        <v>0</v>
      </c>
      <c r="AB3" s="15"/>
      <c r="AC3" s="2">
        <f>AB3*100</f>
        <v>0</v>
      </c>
      <c r="AD3" s="15"/>
      <c r="AE3" s="2">
        <f>IF(AD3&gt;0,70,AD3)</f>
        <v>0</v>
      </c>
      <c r="AF3" s="2">
        <f>IF((AA3+AC3+AE3)&gt;420,420,AA3+AC3+AE3)</f>
        <v>0</v>
      </c>
      <c r="AG3" s="15">
        <v>4</v>
      </c>
      <c r="AH3" s="2">
        <f>AG3*5</f>
        <v>20</v>
      </c>
      <c r="AI3" s="2">
        <f>IF(AH3&gt;20,20,AH3)</f>
        <v>20</v>
      </c>
      <c r="AJ3" s="15">
        <v>1</v>
      </c>
      <c r="AK3" s="2">
        <f>AJ3*50</f>
        <v>50</v>
      </c>
      <c r="AL3" s="15"/>
      <c r="AM3" s="2">
        <f>AL3*30</f>
        <v>0</v>
      </c>
      <c r="AN3" s="15"/>
      <c r="AO3" s="2">
        <f>AN3*10</f>
        <v>0</v>
      </c>
      <c r="AP3" s="2">
        <f>IF((AK3+AM3+AO3)&gt;100,100,AK3+AM3+AO3)</f>
        <v>50</v>
      </c>
      <c r="AQ3" s="15">
        <v>399</v>
      </c>
      <c r="AR3" s="2">
        <f>IF(AQ3&gt;396,396,AQ3)</f>
        <v>396</v>
      </c>
      <c r="AS3" s="2">
        <f>AR3-BN3</f>
        <v>276</v>
      </c>
      <c r="AT3" s="2">
        <f>AS3*1.5</f>
        <v>414</v>
      </c>
      <c r="AU3" s="15"/>
      <c r="AV3" s="2">
        <f>AU3*1</f>
        <v>0</v>
      </c>
      <c r="AW3" s="2">
        <f>IF(AV3&gt;84,84,AV3)</f>
        <v>0</v>
      </c>
      <c r="AX3" s="15"/>
      <c r="AY3" s="15"/>
      <c r="AZ3" s="3">
        <f>IF(BK3+BL3+BD3+BE3+AX3&lt;120,AX3,120-BK3-BL3-BD3-BE3)</f>
        <v>0</v>
      </c>
      <c r="BA3" s="3">
        <f>IF(BK3+BL3+BD3+BE3+AZ3+AY3&lt;120,AY3,120-BK3-BL3-BD3-BE3-AZ3)</f>
        <v>0</v>
      </c>
      <c r="BB3" s="15"/>
      <c r="BC3" s="15"/>
      <c r="BD3" s="3">
        <f>IF(BK3+BL3+BB3&lt;120,BB3,120-BK3-BL3)</f>
        <v>0</v>
      </c>
      <c r="BE3" s="3">
        <f>IF(BK3+BL3+BB3+BC3&lt;120,BC3,120-BK3-BL3-BD3)</f>
        <v>0</v>
      </c>
      <c r="BF3" s="15">
        <v>120</v>
      </c>
      <c r="BG3" s="15"/>
      <c r="BH3" s="2"/>
      <c r="BI3" s="2"/>
      <c r="BJ3" s="2"/>
      <c r="BK3" s="2">
        <v>120</v>
      </c>
      <c r="BL3" s="2">
        <f>IF(BF3+BG3&lt;120,BG3,120-BF3-BG3)</f>
        <v>0</v>
      </c>
      <c r="BM3" s="2">
        <f>AX3+AY3+BB3+BC3+BF3+BG3</f>
        <v>120</v>
      </c>
      <c r="BN3" s="2">
        <f>IF(BM3&gt;120,120,BM3)</f>
        <v>120</v>
      </c>
      <c r="BO3" s="2">
        <f>IF(AY3+BC3+BG3&lt;BM3/2,(BK3+BL3)*5.5+(BD3+BE3)*4+(AZ3+BA3)*3,BK3*5.5+BL3*5.5*0.85+BD3*4+BE3*4*0.85+AZ3*3+BA3*3*0.85)</f>
        <v>660</v>
      </c>
      <c r="BP3" s="2"/>
    </row>
    <row r="4" spans="1:68" s="11" customFormat="1" ht="16.5" x14ac:dyDescent="0.3">
      <c r="A4" s="21">
        <v>3</v>
      </c>
      <c r="B4" s="22" t="s">
        <v>57</v>
      </c>
      <c r="C4" s="22" t="s">
        <v>58</v>
      </c>
      <c r="D4" s="28">
        <f>IF((L4+N4+W4+Y4+AF4+AI4+AP4)&gt;1000,1000,L4+N4+W4+Y4+AF4+AI4+AP4)</f>
        <v>330</v>
      </c>
      <c r="E4" s="28">
        <f>IF(D4&gt;1000,1000,D4)</f>
        <v>330</v>
      </c>
      <c r="F4" s="28">
        <f>D4*33%</f>
        <v>108.9</v>
      </c>
      <c r="G4" s="28">
        <f>AT4+AV4+BO4</f>
        <v>823.5</v>
      </c>
      <c r="H4" s="28">
        <f>IF(G4&gt;1000,1000,G4)</f>
        <v>823.5</v>
      </c>
      <c r="I4" s="28">
        <f>H4*33%</f>
        <v>271.755</v>
      </c>
      <c r="J4" s="29">
        <f>F4+I4</f>
        <v>380.65499999999997</v>
      </c>
      <c r="K4" s="15">
        <v>1</v>
      </c>
      <c r="L4" s="2">
        <f>K4*100</f>
        <v>100</v>
      </c>
      <c r="M4" s="15"/>
      <c r="N4" s="2">
        <f>M4*30</f>
        <v>0</v>
      </c>
      <c r="O4" s="15"/>
      <c r="P4" s="2">
        <f>O4*200</f>
        <v>0</v>
      </c>
      <c r="Q4" s="15">
        <v>1</v>
      </c>
      <c r="R4" s="2">
        <f>Q4*70</f>
        <v>70</v>
      </c>
      <c r="S4" s="15"/>
      <c r="T4" s="2">
        <f>S4*150</f>
        <v>0</v>
      </c>
      <c r="U4" s="15"/>
      <c r="V4" s="2">
        <f>IF(U4&gt;0,50,U4)</f>
        <v>0</v>
      </c>
      <c r="W4" s="2">
        <f>IF((P4+R4+T4+V4)&gt;250,250,P4+R4+T4+V4)</f>
        <v>70</v>
      </c>
      <c r="X4" s="15"/>
      <c r="Y4" s="2">
        <f>X4*275</f>
        <v>0</v>
      </c>
      <c r="Z4" s="15"/>
      <c r="AA4" s="2">
        <f>Z4*350</f>
        <v>0</v>
      </c>
      <c r="AB4" s="15">
        <v>1</v>
      </c>
      <c r="AC4" s="2">
        <f>AB4*100</f>
        <v>100</v>
      </c>
      <c r="AD4" s="15"/>
      <c r="AE4" s="2">
        <f>IF(AD4&gt;0,70,AD4)</f>
        <v>0</v>
      </c>
      <c r="AF4" s="2">
        <f>IF((AA4+AC4+AE4)&gt;420,420,AA4+AC4+AE4)</f>
        <v>100</v>
      </c>
      <c r="AG4" s="15">
        <v>2</v>
      </c>
      <c r="AH4" s="2">
        <f>AG4*5</f>
        <v>10</v>
      </c>
      <c r="AI4" s="2">
        <f>IF(AH4&gt;20,20,AH4)</f>
        <v>10</v>
      </c>
      <c r="AJ4" s="15">
        <v>1</v>
      </c>
      <c r="AK4" s="2">
        <f>AJ4*50</f>
        <v>50</v>
      </c>
      <c r="AL4" s="15"/>
      <c r="AM4" s="2">
        <f>AL4*30</f>
        <v>0</v>
      </c>
      <c r="AN4" s="15"/>
      <c r="AO4" s="2">
        <f>AN4*10</f>
        <v>0</v>
      </c>
      <c r="AP4" s="2">
        <f>IF((AK4+AM4+AO4)&gt;100,100,AK4+AM4+AO4)</f>
        <v>50</v>
      </c>
      <c r="AQ4" s="15">
        <v>363</v>
      </c>
      <c r="AR4" s="2">
        <f>IF(AQ4&gt;396,396,AQ4)</f>
        <v>363</v>
      </c>
      <c r="AS4" s="2">
        <f>AR4-BN4</f>
        <v>243</v>
      </c>
      <c r="AT4" s="2">
        <f>AS4*1.5</f>
        <v>364.5</v>
      </c>
      <c r="AU4" s="15"/>
      <c r="AV4" s="2">
        <f>AU4*1</f>
        <v>0</v>
      </c>
      <c r="AW4" s="2">
        <f>IF(AV4&gt;84,84,AV4)</f>
        <v>0</v>
      </c>
      <c r="AX4" s="15">
        <v>21</v>
      </c>
      <c r="AY4" s="15"/>
      <c r="AZ4" s="3">
        <f>IF(BK4+BL4+BD4+BE4+AX4&lt;120,AX4,120-BK4-BL4-BD4-BE4)</f>
        <v>21</v>
      </c>
      <c r="BA4" s="3">
        <f>IF(BK4+BL4+BD4+BE4+AZ4+AY4&lt;120,AY4,120-BK4-BL4-BD4-BE4-AZ4)</f>
        <v>0</v>
      </c>
      <c r="BB4" s="15">
        <v>99</v>
      </c>
      <c r="BC4" s="15"/>
      <c r="BD4" s="3">
        <f>IF(BK4+BL4+BB4&lt;120,BB4,120-BK4-BL4)</f>
        <v>99</v>
      </c>
      <c r="BE4" s="3">
        <f>IF(BK4+BL4+BB4+BC4&lt;120,BC4,120-BK4-BL4-BD4)</f>
        <v>0</v>
      </c>
      <c r="BF4" s="15"/>
      <c r="BG4" s="15"/>
      <c r="BH4" s="2"/>
      <c r="BI4" s="2"/>
      <c r="BJ4" s="2"/>
      <c r="BK4" s="2">
        <f>IF(BF4&lt;120,BF4,120)</f>
        <v>0</v>
      </c>
      <c r="BL4" s="2">
        <f>IF(BF4+BG4&lt;120,BG4,120-BF4-BG4)</f>
        <v>0</v>
      </c>
      <c r="BM4" s="2">
        <f>AX4+AY4+BB4+BC4+BF4+BG4</f>
        <v>120</v>
      </c>
      <c r="BN4" s="2">
        <f>IF(BM4&gt;120,120,BM4)</f>
        <v>120</v>
      </c>
      <c r="BO4" s="2">
        <f>IF(AY4+BC4+BG4&lt;BM4/2,(BK4+BL4)*5.5+(BD4+BE4)*4+(AZ4+BA4)*3,BK4*5.5+BL4*5.5*0.85+BD4*4+BE4*4*0.85+AZ4*3+BA4*3*0.85)</f>
        <v>459</v>
      </c>
      <c r="BP4" s="2"/>
    </row>
    <row r="5" spans="1:68" s="5" customFormat="1" ht="16.5" x14ac:dyDescent="0.3">
      <c r="A5" s="21">
        <v>4</v>
      </c>
      <c r="B5" s="22" t="s">
        <v>47</v>
      </c>
      <c r="C5" s="22" t="s">
        <v>48</v>
      </c>
      <c r="D5" s="28">
        <f>IF((L5+N5+W5+Y5+AF5+AI5+AP5)&gt;1000,1000,L5+N5+W5+Y5+AF5+AI5+AP5)</f>
        <v>645</v>
      </c>
      <c r="E5" s="28">
        <f>IF(D5&gt;1000,1000,D5)</f>
        <v>645</v>
      </c>
      <c r="F5" s="28">
        <f>D5*33%</f>
        <v>212.85000000000002</v>
      </c>
      <c r="G5" s="28">
        <f>AT5+AV5+BO5</f>
        <v>487</v>
      </c>
      <c r="H5" s="28">
        <f>IF(G5&gt;1000,1000,G5)</f>
        <v>487</v>
      </c>
      <c r="I5" s="28">
        <f>H5*33%</f>
        <v>160.71</v>
      </c>
      <c r="J5" s="29">
        <f>F5+I5</f>
        <v>373.56000000000006</v>
      </c>
      <c r="K5" s="15">
        <v>1</v>
      </c>
      <c r="L5" s="2">
        <f>K5*100</f>
        <v>100</v>
      </c>
      <c r="M5" s="15">
        <v>1</v>
      </c>
      <c r="N5" s="2">
        <f>M5*30</f>
        <v>30</v>
      </c>
      <c r="O5" s="15"/>
      <c r="P5" s="2">
        <f>O5*200</f>
        <v>0</v>
      </c>
      <c r="Q5" s="15">
        <v>1</v>
      </c>
      <c r="R5" s="2">
        <f>Q5*70</f>
        <v>70</v>
      </c>
      <c r="S5" s="15"/>
      <c r="T5" s="2">
        <f>S5*150</f>
        <v>0</v>
      </c>
      <c r="U5" s="15"/>
      <c r="V5" s="2">
        <f>IF(U5&gt;0,50,U5)</f>
        <v>0</v>
      </c>
      <c r="W5" s="2">
        <f>IF((P5+R5+T5+V5)&gt;250,250,P5+R5+T5+V5)</f>
        <v>70</v>
      </c>
      <c r="X5" s="15">
        <v>1</v>
      </c>
      <c r="Y5" s="2">
        <f>X5*275</f>
        <v>275</v>
      </c>
      <c r="Z5" s="15">
        <v>0</v>
      </c>
      <c r="AA5" s="2">
        <f>Z5*350</f>
        <v>0</v>
      </c>
      <c r="AB5" s="15">
        <v>1</v>
      </c>
      <c r="AC5" s="2">
        <f>AB5*100</f>
        <v>100</v>
      </c>
      <c r="AD5" s="15"/>
      <c r="AE5" s="2">
        <f>IF(AD5&gt;0,70,AD5)</f>
        <v>0</v>
      </c>
      <c r="AF5" s="2">
        <f>IF((AA5+AC5+AE5)&gt;420,420,AA5+AC5+AE5)</f>
        <v>100</v>
      </c>
      <c r="AG5" s="15">
        <v>4</v>
      </c>
      <c r="AH5" s="2">
        <f>AG5*5</f>
        <v>20</v>
      </c>
      <c r="AI5" s="2">
        <f>IF(AH5&gt;20,20,AH5)</f>
        <v>20</v>
      </c>
      <c r="AJ5" s="15">
        <v>1</v>
      </c>
      <c r="AK5" s="2">
        <f>AJ5*50</f>
        <v>50</v>
      </c>
      <c r="AL5" s="15"/>
      <c r="AM5" s="2">
        <f>AL5*30</f>
        <v>0</v>
      </c>
      <c r="AN5" s="15"/>
      <c r="AO5" s="2">
        <f>AN5*10</f>
        <v>0</v>
      </c>
      <c r="AP5" s="2">
        <f>IF((AK5+AM5+AO5)&gt;100,100,AK5+AM5+AO5)</f>
        <v>50</v>
      </c>
      <c r="AQ5" s="15">
        <v>212</v>
      </c>
      <c r="AR5" s="2">
        <f>IF(AQ5&gt;396,396,AQ5)</f>
        <v>212</v>
      </c>
      <c r="AS5" s="2">
        <f>AR5-BN5</f>
        <v>166</v>
      </c>
      <c r="AT5" s="2">
        <f>AS5*1.5</f>
        <v>249</v>
      </c>
      <c r="AU5" s="15"/>
      <c r="AV5" s="2">
        <f>AU5*1</f>
        <v>0</v>
      </c>
      <c r="AW5" s="2">
        <f>IF(AV5&gt;84,84,AV5)</f>
        <v>0</v>
      </c>
      <c r="AX5" s="15"/>
      <c r="AY5" s="15">
        <v>6</v>
      </c>
      <c r="AZ5" s="3">
        <f>IF(BK5+BL5+BD5+BE5+AX5&lt;120,AX5,120-BK5-BL5-BD5-BE5)</f>
        <v>0</v>
      </c>
      <c r="BA5" s="3">
        <f>IF(BK5+BL5+BD5+BE5+AZ5+AY5&lt;120,AY5,120-BK5-BL5-BD5-BE5-AZ5)</f>
        <v>6</v>
      </c>
      <c r="BB5" s="15"/>
      <c r="BC5" s="15"/>
      <c r="BD5" s="3">
        <f>IF(BK5+BL5+BB5&lt;120,BB5,120-BK5-BL5)</f>
        <v>0</v>
      </c>
      <c r="BE5" s="3">
        <f>IF(BK5+BL5+BB5+BC5&lt;120,BC5,120-BK5-BL5-BD5)</f>
        <v>0</v>
      </c>
      <c r="BF5" s="15">
        <v>40</v>
      </c>
      <c r="BG5" s="15"/>
      <c r="BH5" s="2"/>
      <c r="BI5" s="2"/>
      <c r="BJ5" s="2"/>
      <c r="BK5" s="2">
        <f>IF(BF5&lt;120,BF5,120)</f>
        <v>40</v>
      </c>
      <c r="BL5" s="2">
        <f>IF(BF5+BG5&lt;120,BG5,120-BF5-BG5)</f>
        <v>0</v>
      </c>
      <c r="BM5" s="2">
        <f>AX5+AY5+BB5+BC5+BF5+BG5</f>
        <v>46</v>
      </c>
      <c r="BN5" s="2">
        <f>IF(BM5&gt;120,120,BM5)</f>
        <v>46</v>
      </c>
      <c r="BO5" s="2">
        <f>IF(AY5+BC5+BG5&lt;BM5/2,(BK5+BL5)*5.5+(BD5+BE5)*4+(AZ5+BA5)*3,BK5*5.5+BL5*5.5*0.85+BD5*4+BE5*4*0.85+AZ5*3+BA5*3*0.85)</f>
        <v>238</v>
      </c>
      <c r="BP5" s="2"/>
    </row>
    <row r="6" spans="1:68" s="1" customFormat="1" ht="16.5" x14ac:dyDescent="0.3">
      <c r="A6" s="21">
        <v>2</v>
      </c>
      <c r="B6" s="22" t="s">
        <v>62</v>
      </c>
      <c r="C6" s="22" t="s">
        <v>61</v>
      </c>
      <c r="D6" s="30">
        <f>IF((L6+N6+W6+Y6+AF6+AI6+AP6)&gt;1000,1000,L6+N6+W6+Y6+AF6+AI6+AP6)</f>
        <v>265</v>
      </c>
      <c r="E6" s="28">
        <f>IF(D6&gt;1000,1000,D6)</f>
        <v>265</v>
      </c>
      <c r="F6" s="28">
        <f>D6*33%</f>
        <v>87.45</v>
      </c>
      <c r="G6" s="28">
        <f>AT6+AV6+BO6</f>
        <v>860</v>
      </c>
      <c r="H6" s="28">
        <f>IF(G6&gt;1000,1000,G6)</f>
        <v>860</v>
      </c>
      <c r="I6" s="28">
        <f>H6*33%</f>
        <v>283.8</v>
      </c>
      <c r="J6" s="31">
        <f>F6+I6</f>
        <v>371.25</v>
      </c>
      <c r="K6" s="15">
        <v>1</v>
      </c>
      <c r="L6" s="3">
        <f>K6*100</f>
        <v>100</v>
      </c>
      <c r="M6" s="15">
        <v>1</v>
      </c>
      <c r="N6" s="3">
        <f>M6*30</f>
        <v>30</v>
      </c>
      <c r="O6" s="15"/>
      <c r="P6" s="3">
        <f>O6*200</f>
        <v>0</v>
      </c>
      <c r="Q6" s="15">
        <v>1</v>
      </c>
      <c r="R6" s="3">
        <f>Q6*70</f>
        <v>70</v>
      </c>
      <c r="S6" s="15"/>
      <c r="T6" s="3">
        <f>S6*150</f>
        <v>0</v>
      </c>
      <c r="U6" s="15"/>
      <c r="V6" s="3">
        <f>IF(U6&gt;0,50,U6)</f>
        <v>0</v>
      </c>
      <c r="W6" s="3">
        <f>IF((P6+R6+T6+V6)&gt;250,250,P6+R6+T6+V6)</f>
        <v>70</v>
      </c>
      <c r="X6" s="15"/>
      <c r="Y6" s="3">
        <f>X6*275</f>
        <v>0</v>
      </c>
      <c r="Z6" s="15"/>
      <c r="AA6" s="3">
        <f>Z6*350</f>
        <v>0</v>
      </c>
      <c r="AB6" s="15"/>
      <c r="AC6" s="3">
        <f>AB6*100</f>
        <v>0</v>
      </c>
      <c r="AD6" s="15"/>
      <c r="AE6" s="3">
        <f>IF(AD6&gt;0,70,AD6)</f>
        <v>0</v>
      </c>
      <c r="AF6" s="3">
        <f>IF((AA6+AC6+AE6)&gt;420,420,AA6+AC6+AE6)</f>
        <v>0</v>
      </c>
      <c r="AG6" s="15">
        <v>3</v>
      </c>
      <c r="AH6" s="3">
        <f>AG6*5</f>
        <v>15</v>
      </c>
      <c r="AI6" s="3">
        <f>IF(AH6&gt;20,20,AH6)</f>
        <v>15</v>
      </c>
      <c r="AJ6" s="15">
        <v>1</v>
      </c>
      <c r="AK6" s="3">
        <f>AJ6*50</f>
        <v>50</v>
      </c>
      <c r="AL6" s="15"/>
      <c r="AM6" s="3">
        <f>AL6*30</f>
        <v>0</v>
      </c>
      <c r="AN6" s="15"/>
      <c r="AO6" s="3">
        <f>AN6*10</f>
        <v>0</v>
      </c>
      <c r="AP6" s="3">
        <f>IF((AK6+AM6+AO6)&gt;100,100,AK6+AM6+AO6)</f>
        <v>50</v>
      </c>
      <c r="AQ6" s="15">
        <v>433</v>
      </c>
      <c r="AR6" s="2">
        <f>IF(AQ6&gt;396,396,AQ6)</f>
        <v>396</v>
      </c>
      <c r="AS6" s="2">
        <f>AR6-BN6</f>
        <v>276</v>
      </c>
      <c r="AT6" s="2">
        <f>AS6*1.5</f>
        <v>414</v>
      </c>
      <c r="AU6" s="15"/>
      <c r="AV6" s="3">
        <f>AU6*1</f>
        <v>0</v>
      </c>
      <c r="AW6" s="3">
        <f>IF(AV6&gt;84,84,AV6)</f>
        <v>0</v>
      </c>
      <c r="AX6" s="15">
        <v>34</v>
      </c>
      <c r="AY6" s="15"/>
      <c r="AZ6" s="3">
        <f>IF(BK6+BL6+BD6+BE6+AX6&lt;120,AX6,120-BK6-BL6-BD6-BE6)</f>
        <v>34</v>
      </c>
      <c r="BA6" s="3">
        <f>IF(BK6+BL6+BD6+BE6+AZ6+AY6&lt;120,AY6,120-BK6-BL6-BD6-BE6-AZ6)</f>
        <v>0</v>
      </c>
      <c r="BB6" s="15">
        <v>44</v>
      </c>
      <c r="BC6" s="15">
        <v>42</v>
      </c>
      <c r="BD6" s="3">
        <f>IF(BK6+BL6+BB6&lt;120,BB6,120-BK6-BL6)</f>
        <v>44</v>
      </c>
      <c r="BE6" s="3">
        <f>IF(BK6+BL6+BB6+BC6&lt;120,BC6,120-BK6-BL6-BD6)</f>
        <v>42</v>
      </c>
      <c r="BF6" s="15"/>
      <c r="BG6" s="15"/>
      <c r="BH6" s="2"/>
      <c r="BI6" s="2"/>
      <c r="BJ6" s="2"/>
      <c r="BK6" s="2">
        <f>IF(BF6&lt;120,BF6,120)</f>
        <v>0</v>
      </c>
      <c r="BL6" s="2">
        <f>IF(BF6+BG6&lt;120,BG6,120-BF6-BG6)</f>
        <v>0</v>
      </c>
      <c r="BM6" s="2">
        <f>AX6+AY6+BB6+BC6+BF6+BG6</f>
        <v>120</v>
      </c>
      <c r="BN6" s="2">
        <f>IF(BM6&gt;120,120,BM6)</f>
        <v>120</v>
      </c>
      <c r="BO6" s="2">
        <f>IF(AY6+BC6+BG6&lt;BM6/2,(BK6+BL6)*5.5+(BD6+BE6)*4+(AZ6+BA6)*3,BK6*5.5+BL6*5.5*0.85+BD6*4+BE6*4*0.85+AZ6*3+BA6*3*0.85)</f>
        <v>446</v>
      </c>
      <c r="BP6" s="3"/>
    </row>
    <row r="7" spans="1:68" s="1" customFormat="1" ht="16.5" x14ac:dyDescent="0.3">
      <c r="A7" s="21">
        <v>5</v>
      </c>
      <c r="B7" s="22" t="s">
        <v>52</v>
      </c>
      <c r="C7" s="22" t="s">
        <v>53</v>
      </c>
      <c r="D7" s="28">
        <f>IF((L7+N7+W7+Y7+AF7+AI7+AP7)&gt;1000,1000,L7+N7+W7+Y7+AF7+AI7+AP7)</f>
        <v>280</v>
      </c>
      <c r="E7" s="28">
        <f>IF(D7&gt;1000,1000,D7)</f>
        <v>280</v>
      </c>
      <c r="F7" s="28">
        <f>D7*33%</f>
        <v>92.4</v>
      </c>
      <c r="G7" s="28">
        <f>AT7+AV7+BO7</f>
        <v>820.5</v>
      </c>
      <c r="H7" s="28">
        <f>IF(G7&gt;1000,1000,G7)</f>
        <v>820.5</v>
      </c>
      <c r="I7" s="28">
        <f>H7*33%</f>
        <v>270.76499999999999</v>
      </c>
      <c r="J7" s="29">
        <f>F7+I7</f>
        <v>363.16499999999996</v>
      </c>
      <c r="K7" s="15">
        <v>1</v>
      </c>
      <c r="L7" s="2">
        <f>K7*100</f>
        <v>100</v>
      </c>
      <c r="M7" s="15">
        <v>1</v>
      </c>
      <c r="N7" s="2">
        <f>M7*30</f>
        <v>30</v>
      </c>
      <c r="O7" s="15"/>
      <c r="P7" s="2">
        <f>O7*200</f>
        <v>0</v>
      </c>
      <c r="Q7" s="15">
        <v>1</v>
      </c>
      <c r="R7" s="2">
        <f>Q7*70</f>
        <v>70</v>
      </c>
      <c r="S7" s="15"/>
      <c r="T7" s="2">
        <f>S7*150</f>
        <v>0</v>
      </c>
      <c r="U7" s="15"/>
      <c r="V7" s="2">
        <f>IF(U7&gt;0,50,U7)</f>
        <v>0</v>
      </c>
      <c r="W7" s="2">
        <f>IF((P7+R7+T7+V7)&gt;250,250,P7+R7+T7+V7)</f>
        <v>70</v>
      </c>
      <c r="X7" s="15"/>
      <c r="Y7" s="2">
        <f>X7*275</f>
        <v>0</v>
      </c>
      <c r="Z7" s="15"/>
      <c r="AA7" s="2">
        <f>Z7*350</f>
        <v>0</v>
      </c>
      <c r="AB7" s="15"/>
      <c r="AC7" s="2">
        <f>AB7*100</f>
        <v>0</v>
      </c>
      <c r="AD7" s="15">
        <v>0</v>
      </c>
      <c r="AE7" s="2">
        <f>IF(AD7&gt;0,70,AD7)</f>
        <v>0</v>
      </c>
      <c r="AF7" s="2">
        <f>IF((AA7+AC7+AE7)&gt;420,420,AA7+AC7+AE7)</f>
        <v>0</v>
      </c>
      <c r="AG7" s="15">
        <v>4</v>
      </c>
      <c r="AH7" s="2">
        <f>AG7*5</f>
        <v>20</v>
      </c>
      <c r="AI7" s="2">
        <f>IF(AH7&gt;20,20,AH7)</f>
        <v>20</v>
      </c>
      <c r="AJ7" s="15">
        <v>1</v>
      </c>
      <c r="AK7" s="2">
        <f>AJ7*50</f>
        <v>50</v>
      </c>
      <c r="AL7" s="15">
        <v>0</v>
      </c>
      <c r="AM7" s="2">
        <f>AL7*30</f>
        <v>0</v>
      </c>
      <c r="AN7" s="15">
        <v>1</v>
      </c>
      <c r="AO7" s="2">
        <f>AN7*10</f>
        <v>10</v>
      </c>
      <c r="AP7" s="2">
        <f>IF((AK7+AM7+AO7)&gt;100,100,AK7+AM7+AO7)</f>
        <v>60</v>
      </c>
      <c r="AQ7" s="15">
        <v>449</v>
      </c>
      <c r="AR7" s="2">
        <f>IF(AQ7&gt;396,396,AQ7)</f>
        <v>396</v>
      </c>
      <c r="AS7" s="2">
        <f>AR7-BN7</f>
        <v>293</v>
      </c>
      <c r="AT7" s="2">
        <f>AS7*1.5</f>
        <v>439.5</v>
      </c>
      <c r="AU7" s="15">
        <v>0</v>
      </c>
      <c r="AV7" s="2">
        <f>AU7*1</f>
        <v>0</v>
      </c>
      <c r="AW7" s="2"/>
      <c r="AX7" s="15">
        <v>45</v>
      </c>
      <c r="AY7" s="15">
        <v>22</v>
      </c>
      <c r="AZ7" s="3">
        <f>IF(BK7+BL7+BD7+BE7+AX7&lt;120,AX7,120-BK7-BL7-BD7-BE7)</f>
        <v>45</v>
      </c>
      <c r="BA7" s="3">
        <f>IF(BK7+BL7+BD7+BE7+AZ7+AY7&lt;120,AY7,120-BK7-BL7-BD7-BE7-AZ7)</f>
        <v>22</v>
      </c>
      <c r="BB7" s="15">
        <v>7</v>
      </c>
      <c r="BC7" s="15">
        <v>5</v>
      </c>
      <c r="BD7" s="3">
        <f>IF(BK7+BL7+BB7&lt;120,BB7,120-BK7-BL7)</f>
        <v>7</v>
      </c>
      <c r="BE7" s="3">
        <f>IF(BK7+BL7+BB7+BC7&lt;120,BC7,120-BK7-BL7-BD7)</f>
        <v>5</v>
      </c>
      <c r="BF7" s="15">
        <v>24</v>
      </c>
      <c r="BG7" s="15"/>
      <c r="BH7" s="2"/>
      <c r="BI7" s="2"/>
      <c r="BJ7" s="2"/>
      <c r="BK7" s="2">
        <f>IF(BF7&lt;120,BF7,120)</f>
        <v>24</v>
      </c>
      <c r="BL7" s="2">
        <f>IF(BF7+BG7&lt;120,BG7,120-BF7-BG7)</f>
        <v>0</v>
      </c>
      <c r="BM7" s="2">
        <f>AX7+AY7+BB7+BC7+BF7+BG7</f>
        <v>103</v>
      </c>
      <c r="BN7" s="2">
        <f>IF(BM7&gt;120,120,BM7)</f>
        <v>103</v>
      </c>
      <c r="BO7" s="2">
        <f>IF(AY7+BC7+BG7&lt;BM7/2,(BK7+BL7)*5.5+(BD7+BE7)*4+(AZ7+BA7)*3,BK7*5.5+BL7*5.5*0.85+BD7*4+BE7*4*0.85+AZ7*3+BA7*3*0.85)</f>
        <v>381</v>
      </c>
      <c r="BP7" s="3"/>
    </row>
    <row r="8" spans="1:68" s="1" customFormat="1" ht="16.5" x14ac:dyDescent="0.3">
      <c r="A8" s="21">
        <v>6</v>
      </c>
      <c r="B8" s="23" t="s">
        <v>54</v>
      </c>
      <c r="C8" s="23" t="s">
        <v>55</v>
      </c>
      <c r="D8" s="28">
        <f>IF((L8+N8+W8+Y8+AF8+AI8+AP8)&gt;1000,1000,L8+N8+W8+Y8+AF8+AI8+AP8)</f>
        <v>350</v>
      </c>
      <c r="E8" s="28">
        <f>IF(D8&gt;1000,1000,D8)</f>
        <v>350</v>
      </c>
      <c r="F8" s="28">
        <f>D8*33%</f>
        <v>115.5</v>
      </c>
      <c r="G8" s="28">
        <f>AT8+AV8+BO8</f>
        <v>702.5</v>
      </c>
      <c r="H8" s="28">
        <f>IF(G8&gt;1000,1000,G8)</f>
        <v>702.5</v>
      </c>
      <c r="I8" s="28">
        <f>H8*33%</f>
        <v>231.82500000000002</v>
      </c>
      <c r="J8" s="29">
        <f>F8+I8</f>
        <v>347.32500000000005</v>
      </c>
      <c r="K8" s="15">
        <v>1</v>
      </c>
      <c r="L8" s="2">
        <f>K8*100</f>
        <v>100</v>
      </c>
      <c r="M8" s="15"/>
      <c r="N8" s="2">
        <f>M8*30</f>
        <v>0</v>
      </c>
      <c r="O8" s="15"/>
      <c r="P8" s="2">
        <f>O8*200</f>
        <v>0</v>
      </c>
      <c r="Q8" s="15">
        <v>1</v>
      </c>
      <c r="R8" s="2">
        <f>Q8*70</f>
        <v>70</v>
      </c>
      <c r="S8" s="15"/>
      <c r="T8" s="2">
        <f>S8*150</f>
        <v>0</v>
      </c>
      <c r="U8" s="15"/>
      <c r="V8" s="2">
        <f>IF(U8&gt;0,50,U8)</f>
        <v>0</v>
      </c>
      <c r="W8" s="2">
        <f>IF((P8+R8+T8+V8)&gt;250,250,P8+R8+T8+V8)</f>
        <v>70</v>
      </c>
      <c r="X8" s="15"/>
      <c r="Y8" s="2">
        <f>X8*275</f>
        <v>0</v>
      </c>
      <c r="Z8" s="15"/>
      <c r="AA8" s="2">
        <f>Z8*350</f>
        <v>0</v>
      </c>
      <c r="AB8" s="15">
        <v>1</v>
      </c>
      <c r="AC8" s="2">
        <f>AB8*100</f>
        <v>100</v>
      </c>
      <c r="AD8" s="15"/>
      <c r="AE8" s="2">
        <f>IF(AD8&gt;0,70,AD8)</f>
        <v>0</v>
      </c>
      <c r="AF8" s="2">
        <f>IF((AA8+AC8+AE8)&gt;420,420,AA8+AC8+AE8)</f>
        <v>100</v>
      </c>
      <c r="AG8" s="15">
        <v>4</v>
      </c>
      <c r="AH8" s="2">
        <f>AG8*5</f>
        <v>20</v>
      </c>
      <c r="AI8" s="2">
        <f>IF(AH8&gt;20,20,AH8)</f>
        <v>20</v>
      </c>
      <c r="AJ8" s="15">
        <v>1</v>
      </c>
      <c r="AK8" s="2">
        <f>AJ8*50</f>
        <v>50</v>
      </c>
      <c r="AL8" s="15"/>
      <c r="AM8" s="2">
        <f>AL8*30</f>
        <v>0</v>
      </c>
      <c r="AN8" s="15">
        <v>1</v>
      </c>
      <c r="AO8" s="2">
        <f>AN8*10</f>
        <v>10</v>
      </c>
      <c r="AP8" s="2">
        <f>IF((AK8+AM8+AO8)&gt;100,100,AK8+AM8+AO8)</f>
        <v>60</v>
      </c>
      <c r="AQ8" s="15">
        <v>335</v>
      </c>
      <c r="AR8" s="2">
        <f>IF(AQ8&gt;396,396,AQ8)</f>
        <v>335</v>
      </c>
      <c r="AS8" s="2">
        <f>AR8-BN8</f>
        <v>285</v>
      </c>
      <c r="AT8" s="2">
        <f>AS8*1.5</f>
        <v>427.5</v>
      </c>
      <c r="AU8" s="15"/>
      <c r="AV8" s="2">
        <v>0</v>
      </c>
      <c r="AW8" s="2">
        <v>205</v>
      </c>
      <c r="AX8" s="15"/>
      <c r="AY8" s="15"/>
      <c r="AZ8" s="3">
        <f>IF(BK8+BL8+BD8+BE8+AX8&lt;120,AX8,120-BK8-BL8-BD8-BE8)</f>
        <v>0</v>
      </c>
      <c r="BA8" s="3">
        <f>IF(BK8+BL8+BD8+BE8+AZ8+AY8&lt;120,AY8,120-BK8-BL8-BD8-BE8-AZ8)</f>
        <v>0</v>
      </c>
      <c r="BB8" s="15"/>
      <c r="BC8" s="15"/>
      <c r="BD8" s="3">
        <f>IF(BK8+BL8+BB8&lt;120,BB8,120-BK8-BL8)</f>
        <v>0</v>
      </c>
      <c r="BE8" s="3">
        <f>IF(BK8+BL8+BB8+BC8&lt;120,BC8,120-BK8-BL8-BD8)</f>
        <v>0</v>
      </c>
      <c r="BF8" s="15">
        <v>50</v>
      </c>
      <c r="BG8" s="15"/>
      <c r="BH8" s="2">
        <v>0</v>
      </c>
      <c r="BI8" s="2">
        <v>0</v>
      </c>
      <c r="BJ8" s="2"/>
      <c r="BK8" s="2">
        <f>IF(BF8&lt;120,BF8,120)</f>
        <v>50</v>
      </c>
      <c r="BL8" s="2">
        <f>IF(BF8+BG8&lt;120,BG8,120-BF8-BG8)</f>
        <v>0</v>
      </c>
      <c r="BM8" s="2">
        <f>AX8+AY8+BB8+BC8+BF8+BG8</f>
        <v>50</v>
      </c>
      <c r="BN8" s="2">
        <f>IF(BM8&gt;120,120,BM8)</f>
        <v>50</v>
      </c>
      <c r="BO8" s="2">
        <f>IF(AY8+BC8+BG8&lt;BM8/2,(BK8+BL8)*5.5+(BD8+BE8)*4+(AZ8+BA8)*3,BK8*5.5+BL8*5.5*0.85+BD8*4+BE8*4*0.85+AZ8*3+BA8*3*0.85)</f>
        <v>275</v>
      </c>
      <c r="BP8" s="2"/>
    </row>
    <row r="9" spans="1:68" s="1" customFormat="1" ht="16.5" x14ac:dyDescent="0.3">
      <c r="A9" s="21">
        <v>7</v>
      </c>
      <c r="B9" s="23" t="s">
        <v>49</v>
      </c>
      <c r="C9" s="23" t="s">
        <v>56</v>
      </c>
      <c r="D9" s="28">
        <f>IF((L9+N9+W9+Y9+AF9+AI9+AP9)&gt;1000,1000,L9+N9+W9+Y9+AF9+AI9+AP9)</f>
        <v>190</v>
      </c>
      <c r="E9" s="28">
        <f>IF(D9&gt;1000,1000,D9)</f>
        <v>190</v>
      </c>
      <c r="F9" s="28">
        <f>D9*33%</f>
        <v>62.7</v>
      </c>
      <c r="G9" s="28">
        <f>AT9+AV9+BO9</f>
        <v>783</v>
      </c>
      <c r="H9" s="28">
        <f>IF(G9&gt;1000,1000,G9)</f>
        <v>783</v>
      </c>
      <c r="I9" s="28">
        <f>H9*33%</f>
        <v>258.39</v>
      </c>
      <c r="J9" s="29">
        <f>F9+I9</f>
        <v>321.08999999999997</v>
      </c>
      <c r="K9" s="15">
        <v>1</v>
      </c>
      <c r="L9" s="2">
        <f>K9*100</f>
        <v>100</v>
      </c>
      <c r="M9" s="15"/>
      <c r="N9" s="2">
        <f>M9*30</f>
        <v>0</v>
      </c>
      <c r="O9" s="15"/>
      <c r="P9" s="2">
        <f>O9*200</f>
        <v>0</v>
      </c>
      <c r="Q9" s="15">
        <v>1</v>
      </c>
      <c r="R9" s="2">
        <f>Q9*70</f>
        <v>70</v>
      </c>
      <c r="S9" s="15"/>
      <c r="T9" s="2">
        <f>S9*150</f>
        <v>0</v>
      </c>
      <c r="U9" s="15"/>
      <c r="V9" s="2">
        <f>IF(U9&gt;0,50,U9)</f>
        <v>0</v>
      </c>
      <c r="W9" s="2">
        <f>IF((P9+R9+T9+V9)&gt;250,250,P9+R9+T9+V9)</f>
        <v>70</v>
      </c>
      <c r="X9" s="15"/>
      <c r="Y9" s="2">
        <f>X9*275</f>
        <v>0</v>
      </c>
      <c r="Z9" s="15"/>
      <c r="AA9" s="2">
        <f>Z9*350</f>
        <v>0</v>
      </c>
      <c r="AB9" s="15"/>
      <c r="AC9" s="2">
        <f>AB9*100</f>
        <v>0</v>
      </c>
      <c r="AD9" s="15"/>
      <c r="AE9" s="2">
        <f>IF(AD9&gt;0,70,AD9)</f>
        <v>0</v>
      </c>
      <c r="AF9" s="2">
        <f>IF((AA9+AC9+AE9)&gt;420,420,AA9+AC9+AE9)</f>
        <v>0</v>
      </c>
      <c r="AG9" s="15">
        <v>4</v>
      </c>
      <c r="AH9" s="2">
        <f>AG9*5</f>
        <v>20</v>
      </c>
      <c r="AI9" s="2">
        <f>IF(AH9&gt;20,20,AH9)</f>
        <v>20</v>
      </c>
      <c r="AJ9" s="15"/>
      <c r="AK9" s="2">
        <f>AJ9*50</f>
        <v>0</v>
      </c>
      <c r="AL9" s="15"/>
      <c r="AM9" s="2">
        <f>AL9*30</f>
        <v>0</v>
      </c>
      <c r="AN9" s="15"/>
      <c r="AO9" s="2">
        <f>AN9*10</f>
        <v>0</v>
      </c>
      <c r="AP9" s="2">
        <f>IF((AK9+AM9+AO9)&gt;100,100,AK9+AM9+AO9)</f>
        <v>0</v>
      </c>
      <c r="AQ9" s="15">
        <v>421</v>
      </c>
      <c r="AR9" s="2">
        <f>IF(AQ9&gt;396,396,AQ9)</f>
        <v>396</v>
      </c>
      <c r="AS9" s="2">
        <f>AR9-BN9</f>
        <v>276</v>
      </c>
      <c r="AT9" s="2">
        <f>AS9*1.5</f>
        <v>414</v>
      </c>
      <c r="AU9" s="15"/>
      <c r="AV9" s="2">
        <f>AU9*1</f>
        <v>0</v>
      </c>
      <c r="AW9" s="2">
        <f>IF(AV9&gt;84,84,AV9)</f>
        <v>0</v>
      </c>
      <c r="AX9" s="15">
        <v>111</v>
      </c>
      <c r="AY9" s="15"/>
      <c r="AZ9" s="3">
        <f>IF(BK9+BL9+BD9+BE9+AX9&lt;120,AX9,120-BK9-BL9-BD9-BE9)</f>
        <v>111</v>
      </c>
      <c r="BA9" s="3">
        <f>IF(BK9+BL9+BD9+BE9+AZ9+AY9&lt;120,AY9,120-BK9-BL9-BD9-BE9-AZ9)</f>
        <v>0</v>
      </c>
      <c r="BB9" s="15">
        <v>9</v>
      </c>
      <c r="BC9" s="15"/>
      <c r="BD9" s="3">
        <f>IF(BK9+BL9+BB9&lt;120,BB9,120-BK9-BL9)</f>
        <v>9</v>
      </c>
      <c r="BE9" s="3">
        <f>IF(BK9+BL9+BB9+BC9&lt;120,BC9,120-BK9-BL9-BD9)</f>
        <v>0</v>
      </c>
      <c r="BF9" s="15"/>
      <c r="BG9" s="15"/>
      <c r="BH9" s="2"/>
      <c r="BI9" s="2"/>
      <c r="BJ9" s="2"/>
      <c r="BK9" s="2">
        <f>IF(BF9&lt;120,BF9,120)</f>
        <v>0</v>
      </c>
      <c r="BL9" s="2">
        <f>IF(BF9+BG9&lt;120,BG9,120-BF9-BG9)</f>
        <v>0</v>
      </c>
      <c r="BM9" s="2">
        <f>AX9+AY9+BB9+BC9+BF9+BG9</f>
        <v>120</v>
      </c>
      <c r="BN9" s="2">
        <f>IF(BM9&gt;120,120,BM9)</f>
        <v>120</v>
      </c>
      <c r="BO9" s="2">
        <f>IF(AY9+BC9+BG9&lt;BM9/2,(BK9+BL9)*5.5+(BD9+BE9)*4+(AZ9+BA9)*3,BK9*5.5+BL9*5.5*0.85+BD9*4+BE9*4*0.85+AZ9*3+BA9*3*0.85)</f>
        <v>369</v>
      </c>
      <c r="BP9" s="2"/>
    </row>
    <row r="10" spans="1:68" s="1" customFormat="1" ht="16.5" x14ac:dyDescent="0.3">
      <c r="A10" s="4">
        <v>8</v>
      </c>
      <c r="B10" s="3" t="s">
        <v>51</v>
      </c>
      <c r="C10" s="3" t="s">
        <v>48</v>
      </c>
      <c r="D10" s="32">
        <f>IF((L10+N10+W10+Y10+AF10+AI10+AP10)&gt;1000,1000,L10+N10+W10+Y10+AF10+AI10+AP10)</f>
        <v>175</v>
      </c>
      <c r="E10" s="32">
        <f>IF(D10&gt;1000,1000,D10)</f>
        <v>175</v>
      </c>
      <c r="F10" s="32">
        <f>D10*33%</f>
        <v>57.75</v>
      </c>
      <c r="G10" s="32">
        <f>AT10+AV10+BO10</f>
        <v>789</v>
      </c>
      <c r="H10" s="32">
        <f>IF(G10&gt;1000,1000,G10)</f>
        <v>789</v>
      </c>
      <c r="I10" s="32">
        <f>H10*33%</f>
        <v>260.37</v>
      </c>
      <c r="J10" s="33">
        <f>F10+I10</f>
        <v>318.12</v>
      </c>
      <c r="K10" s="15">
        <v>1</v>
      </c>
      <c r="L10" s="2">
        <f>K10*100</f>
        <v>100</v>
      </c>
      <c r="M10" s="15"/>
      <c r="N10" s="2">
        <f>M10*30</f>
        <v>0</v>
      </c>
      <c r="O10" s="15"/>
      <c r="P10" s="2">
        <f>O10*200</f>
        <v>0</v>
      </c>
      <c r="Q10" s="15">
        <v>1</v>
      </c>
      <c r="R10" s="2">
        <f>Q10*70</f>
        <v>70</v>
      </c>
      <c r="S10" s="15"/>
      <c r="T10" s="2">
        <f>S10*150</f>
        <v>0</v>
      </c>
      <c r="U10" s="15"/>
      <c r="V10" s="2">
        <f>IF(U10&gt;0,50,U10)</f>
        <v>0</v>
      </c>
      <c r="W10" s="2">
        <f>IF((P10+R10+T10+V10)&gt;250,250,P10+R10+T10+V10)</f>
        <v>70</v>
      </c>
      <c r="X10" s="15"/>
      <c r="Y10" s="2">
        <f>X10*275</f>
        <v>0</v>
      </c>
      <c r="Z10" s="15"/>
      <c r="AA10" s="2">
        <f>Z10*350</f>
        <v>0</v>
      </c>
      <c r="AB10" s="15"/>
      <c r="AC10" s="2">
        <f>AB10*100</f>
        <v>0</v>
      </c>
      <c r="AD10" s="15"/>
      <c r="AE10" s="2">
        <f>IF(AD10&gt;0,70,AD10)</f>
        <v>0</v>
      </c>
      <c r="AF10" s="2">
        <f>IF((AA10+AC10+AE10)&gt;420,420,AA10+AC10+AE10)</f>
        <v>0</v>
      </c>
      <c r="AG10" s="15">
        <v>1</v>
      </c>
      <c r="AH10" s="2">
        <f>AG10*5</f>
        <v>5</v>
      </c>
      <c r="AI10" s="2">
        <f>IF(AH10&gt;20,20,AH10)</f>
        <v>5</v>
      </c>
      <c r="AJ10" s="15"/>
      <c r="AK10" s="2">
        <f>AJ10*50</f>
        <v>0</v>
      </c>
      <c r="AL10" s="15"/>
      <c r="AM10" s="2">
        <f>AL10*30</f>
        <v>0</v>
      </c>
      <c r="AN10" s="15"/>
      <c r="AO10" s="2">
        <f>AN10*10</f>
        <v>0</v>
      </c>
      <c r="AP10" s="2">
        <f>IF((AK10+AM10+AO10)&gt;100,100,AK10+AM10+AO10)</f>
        <v>0</v>
      </c>
      <c r="AQ10" s="15">
        <v>362</v>
      </c>
      <c r="AR10" s="2">
        <f>IF(AQ10&gt;396,396,AQ10)</f>
        <v>362</v>
      </c>
      <c r="AS10" s="2">
        <f>AR10-BN10</f>
        <v>242</v>
      </c>
      <c r="AT10" s="2">
        <f>AS10*1.5</f>
        <v>363</v>
      </c>
      <c r="AU10" s="15"/>
      <c r="AV10" s="2">
        <f>AU10*1</f>
        <v>0</v>
      </c>
      <c r="AW10" s="2">
        <f>IF(AV10&gt;84,84,AV10)</f>
        <v>0</v>
      </c>
      <c r="AX10" s="15">
        <v>54</v>
      </c>
      <c r="AY10" s="15"/>
      <c r="AZ10" s="3">
        <f>IF(BK10+BL10+BD10+BE10+AX10&lt;120,AX10,120-BK10-BL10-BD10-BE10)</f>
        <v>54</v>
      </c>
      <c r="BA10" s="3">
        <f>IF(BK10+BL10+BD10+BE10+AZ10+AY10&lt;120,AY10,120-BK10-BL10-BD10-BE10-AZ10)</f>
        <v>0</v>
      </c>
      <c r="BB10" s="15">
        <v>66</v>
      </c>
      <c r="BC10" s="15"/>
      <c r="BD10" s="3">
        <f>IF(BK10+BL10+BB10&lt;120,BB10,120-BK10-BL10)</f>
        <v>66</v>
      </c>
      <c r="BE10" s="3">
        <f>IF(BK10+BL10+BB10+BC10&lt;120,BC10,120-BK10-BL10-BD10)</f>
        <v>0</v>
      </c>
      <c r="BF10" s="15"/>
      <c r="BG10" s="15"/>
      <c r="BH10" s="2"/>
      <c r="BI10" s="2"/>
      <c r="BJ10" s="2"/>
      <c r="BK10" s="2">
        <f>IF(BF10&lt;120,BF10,120)</f>
        <v>0</v>
      </c>
      <c r="BL10" s="2">
        <f>IF(BF10+BG10&lt;120,BG10,120-BF10-BG10)</f>
        <v>0</v>
      </c>
      <c r="BM10" s="2">
        <f>AX10+AY10+BB10+BC10+BF10+BG10</f>
        <v>120</v>
      </c>
      <c r="BN10" s="2">
        <f>IF(BM10&gt;120,120,BM10)</f>
        <v>120</v>
      </c>
      <c r="BO10" s="2">
        <f>IF(AY10+BC10+BG10&lt;BM10/2,(BK10+BL10)*5.5+(BD10+BE10)*4+(AZ10+BA10)*3,BK10*5.5+BL10*5.5*0.85+BD10*4+BE10*4*0.85+AZ10*3+BA10*3*0.85)</f>
        <v>426</v>
      </c>
      <c r="BP10" s="2"/>
    </row>
    <row r="11" spans="1:68" s="1" customFormat="1" ht="16.5" x14ac:dyDescent="0.3">
      <c r="A11" s="4">
        <v>9</v>
      </c>
      <c r="B11" s="3" t="s">
        <v>59</v>
      </c>
      <c r="C11" s="3" t="s">
        <v>60</v>
      </c>
      <c r="D11" s="32">
        <f>IF((L11+N11+W11+Y11+AF11+AI11+AP11)&gt;1000,1000,L11+N11+W11+Y11+AF11+AI11+AP11)</f>
        <v>280</v>
      </c>
      <c r="E11" s="32">
        <f>IF(D11&gt;1000,1000,D11)</f>
        <v>280</v>
      </c>
      <c r="F11" s="32">
        <f>D11*33%</f>
        <v>92.4</v>
      </c>
      <c r="G11" s="32">
        <f>AT11+AV11+BO11</f>
        <v>555.5</v>
      </c>
      <c r="H11" s="32">
        <f>IF(G11&gt;1000,1000,G11)</f>
        <v>555.5</v>
      </c>
      <c r="I11" s="32">
        <f>H11*33%</f>
        <v>183.315</v>
      </c>
      <c r="J11" s="33">
        <f>F11+I11</f>
        <v>275.71500000000003</v>
      </c>
      <c r="K11" s="15">
        <v>1</v>
      </c>
      <c r="L11" s="2">
        <f>K11*100</f>
        <v>100</v>
      </c>
      <c r="M11" s="15">
        <v>1</v>
      </c>
      <c r="N11" s="2">
        <f>M11*30</f>
        <v>30</v>
      </c>
      <c r="O11" s="15"/>
      <c r="P11" s="2">
        <f>O11*200</f>
        <v>0</v>
      </c>
      <c r="Q11" s="15">
        <v>1</v>
      </c>
      <c r="R11" s="2">
        <f>Q11*70</f>
        <v>70</v>
      </c>
      <c r="S11" s="15"/>
      <c r="T11" s="2">
        <f>S11*150</f>
        <v>0</v>
      </c>
      <c r="U11" s="15"/>
      <c r="V11" s="2">
        <f>IF(U11&gt;0,50,U11)</f>
        <v>0</v>
      </c>
      <c r="W11" s="2">
        <f>IF((P11+R11+T11+V11)&gt;250,250,P11+R11+T11+V11)</f>
        <v>70</v>
      </c>
      <c r="X11" s="15"/>
      <c r="Y11" s="2">
        <f>X11*275</f>
        <v>0</v>
      </c>
      <c r="Z11" s="15"/>
      <c r="AA11" s="2">
        <f>Z11*350</f>
        <v>0</v>
      </c>
      <c r="AB11" s="15"/>
      <c r="AC11" s="2">
        <f>AB11*100</f>
        <v>0</v>
      </c>
      <c r="AD11" s="15"/>
      <c r="AE11" s="2">
        <f>IF(AD11&gt;0,70,AD11)</f>
        <v>0</v>
      </c>
      <c r="AF11" s="2">
        <f>IF((AA11+AC11+AE11)&gt;420,420,AA11+AC11+AE11)</f>
        <v>0</v>
      </c>
      <c r="AG11" s="15">
        <v>4</v>
      </c>
      <c r="AH11" s="2">
        <f>AG11*5</f>
        <v>20</v>
      </c>
      <c r="AI11" s="2">
        <f>IF(AH11&gt;20,20,AH11)</f>
        <v>20</v>
      </c>
      <c r="AJ11" s="15">
        <v>1</v>
      </c>
      <c r="AK11" s="2">
        <f>AJ11*50</f>
        <v>50</v>
      </c>
      <c r="AL11" s="15"/>
      <c r="AM11" s="2">
        <f>AL11*30</f>
        <v>0</v>
      </c>
      <c r="AN11" s="15">
        <v>1</v>
      </c>
      <c r="AO11" s="2">
        <f>AN11*10</f>
        <v>10</v>
      </c>
      <c r="AP11" s="2">
        <f>IF((AK11+AM11+AO11)&gt;100,100,AK11+AM11+AO11)</f>
        <v>60</v>
      </c>
      <c r="AQ11" s="15">
        <v>262</v>
      </c>
      <c r="AR11" s="2">
        <f>IF(AQ11&gt;396,396,AQ11)</f>
        <v>262</v>
      </c>
      <c r="AS11" s="2">
        <f>AR11-BN11</f>
        <v>169</v>
      </c>
      <c r="AT11" s="2">
        <f>AS11*1.5</f>
        <v>253.5</v>
      </c>
      <c r="AU11" s="15"/>
      <c r="AV11" s="2">
        <f>AU11*1</f>
        <v>0</v>
      </c>
      <c r="AW11" s="2">
        <f>IF(AV11&gt;84,84,AV11)</f>
        <v>0</v>
      </c>
      <c r="AX11" s="15">
        <v>70</v>
      </c>
      <c r="AY11" s="15"/>
      <c r="AZ11" s="3">
        <f>IF(BK11+BL11+BD11+BE11+AX11&lt;120,AX11,120-BK11-BL11-BD11-BE11)</f>
        <v>70</v>
      </c>
      <c r="BA11" s="3">
        <f>IF(BK11+BL11+BD11+BE11+AZ11+AY11&lt;120,AY11,120-BK11-BL11-BD11-BE11-AZ11)</f>
        <v>0</v>
      </c>
      <c r="BB11" s="15">
        <v>23</v>
      </c>
      <c r="BC11" s="15"/>
      <c r="BD11" s="3">
        <f>IF(BK11+BL11+BB11&lt;120,BB11,120-BK11-BL11)</f>
        <v>23</v>
      </c>
      <c r="BE11" s="3">
        <f>IF(BK11+BL11+BB11+BC11&lt;120,BC11,120-BK11-BL11-BD11)</f>
        <v>0</v>
      </c>
      <c r="BF11" s="15"/>
      <c r="BG11" s="15"/>
      <c r="BH11" s="2"/>
      <c r="BI11" s="2"/>
      <c r="BJ11" s="2"/>
      <c r="BK11" s="2">
        <f>IF(BF11&lt;120,BF11,120)</f>
        <v>0</v>
      </c>
      <c r="BL11" s="2">
        <f>IF(BF11+BG11&lt;120,BG11,120-BF11-BG11)</f>
        <v>0</v>
      </c>
      <c r="BM11" s="2">
        <f>AX11+AY11+BB11+BC11+BF11+BG11</f>
        <v>93</v>
      </c>
      <c r="BN11" s="2">
        <f>IF(BM11&gt;120,120,BM11)</f>
        <v>93</v>
      </c>
      <c r="BO11" s="2">
        <f>IF(AY11+BC11+BG11&lt;BM11/2,(BK11+BL11)*5.5+(BD11+BE11)*4+(AZ11+BA11)*3,BK11*5.5+BL11*5.5*0.85+BD11*4+BE11*4*0.85+AZ11*3+BA11*3*0.85)</f>
        <v>302</v>
      </c>
      <c r="BP11" s="2"/>
    </row>
    <row r="12" spans="1:68" s="7" customFormat="1" ht="16.5" x14ac:dyDescent="0.3">
      <c r="A12" s="4">
        <v>10</v>
      </c>
      <c r="B12" s="9" t="s">
        <v>63</v>
      </c>
      <c r="C12" s="9" t="s">
        <v>64</v>
      </c>
      <c r="D12" s="32">
        <f>IF((L12+N12+W12+Y12+AF12+AI12+AP12)&gt;1000,1000,L12+N12+W12+Y12+AF12+AI12+AP12)</f>
        <v>240</v>
      </c>
      <c r="E12" s="32">
        <f>IF(D12&gt;1000,1000,D12)</f>
        <v>240</v>
      </c>
      <c r="F12" s="32">
        <f>D12*33%</f>
        <v>79.2</v>
      </c>
      <c r="G12" s="32">
        <f>AT12+AV12+BO12</f>
        <v>546</v>
      </c>
      <c r="H12" s="32">
        <f>IF(G12&gt;1000,1000,G12)</f>
        <v>546</v>
      </c>
      <c r="I12" s="32">
        <f>H12*33%</f>
        <v>180.18</v>
      </c>
      <c r="J12" s="33">
        <f>F12+I12</f>
        <v>259.38</v>
      </c>
      <c r="K12" s="15">
        <v>1</v>
      </c>
      <c r="L12" s="2">
        <f>K12*100</f>
        <v>100</v>
      </c>
      <c r="M12" s="15"/>
      <c r="N12" s="2">
        <f>M12*30</f>
        <v>0</v>
      </c>
      <c r="O12" s="15"/>
      <c r="P12" s="2">
        <f>O12*200</f>
        <v>0</v>
      </c>
      <c r="Q12" s="15">
        <v>1</v>
      </c>
      <c r="R12" s="2">
        <f>Q12*70</f>
        <v>70</v>
      </c>
      <c r="S12" s="15"/>
      <c r="T12" s="2">
        <f>S12*150</f>
        <v>0</v>
      </c>
      <c r="U12" s="15"/>
      <c r="V12" s="2">
        <f>IF(U12&gt;0,50,U12)</f>
        <v>0</v>
      </c>
      <c r="W12" s="2">
        <f>IF((P12+R12+T12+V12)&gt;250,250,P12+R12+T12+V12)</f>
        <v>70</v>
      </c>
      <c r="X12" s="15"/>
      <c r="Y12" s="2">
        <f>X12*275</f>
        <v>0</v>
      </c>
      <c r="Z12" s="15"/>
      <c r="AA12" s="2">
        <f>Z12*350</f>
        <v>0</v>
      </c>
      <c r="AB12" s="15"/>
      <c r="AC12" s="2">
        <f>AB12*100</f>
        <v>0</v>
      </c>
      <c r="AD12" s="15"/>
      <c r="AE12" s="2">
        <f>IF(AD12&gt;0,70,AD12)</f>
        <v>0</v>
      </c>
      <c r="AF12" s="2">
        <f>IF((AA12+AC12+AE12)&gt;420,420,AA12+AC12+AE12)</f>
        <v>0</v>
      </c>
      <c r="AG12" s="15">
        <v>4</v>
      </c>
      <c r="AH12" s="2">
        <f>AG12*5</f>
        <v>20</v>
      </c>
      <c r="AI12" s="2">
        <f>IF(AH12&gt;20,20,AH12)</f>
        <v>20</v>
      </c>
      <c r="AJ12" s="15">
        <v>1</v>
      </c>
      <c r="AK12" s="2">
        <f>AJ12*50</f>
        <v>50</v>
      </c>
      <c r="AL12" s="15"/>
      <c r="AM12" s="2">
        <f>AL12*30</f>
        <v>0</v>
      </c>
      <c r="AN12" s="15"/>
      <c r="AO12" s="2">
        <f>AN12*10</f>
        <v>0</v>
      </c>
      <c r="AP12" s="2">
        <f>IF((AK12+AM12+AO12)&gt;100,100,AK12+AM12+AO12)</f>
        <v>50</v>
      </c>
      <c r="AQ12" s="15">
        <v>293</v>
      </c>
      <c r="AR12" s="2">
        <f>IF(AQ12&gt;396,396,AQ12)</f>
        <v>293</v>
      </c>
      <c r="AS12" s="2">
        <f>AR12-BN12</f>
        <v>222</v>
      </c>
      <c r="AT12" s="2">
        <f>AS12*1.5</f>
        <v>333</v>
      </c>
      <c r="AU12" s="15"/>
      <c r="AV12" s="2">
        <f>AU12*1</f>
        <v>0</v>
      </c>
      <c r="AW12" s="2">
        <f>IF(AV12&gt;84,84,AV12)</f>
        <v>0</v>
      </c>
      <c r="AX12" s="15">
        <v>71</v>
      </c>
      <c r="AY12" s="15"/>
      <c r="AZ12" s="3">
        <f>IF(BK12+BL12+BD12+BE12+AX12&lt;120,AX12,120-BK12-BL12-BD12-BE12)</f>
        <v>71</v>
      </c>
      <c r="BA12" s="3">
        <f>IF(BK12+BL12+BD12+BE12+AZ12+AY12&lt;120,AY12,120-BK12-BL12-BD12-BE12-AZ12)</f>
        <v>0</v>
      </c>
      <c r="BB12" s="15"/>
      <c r="BC12" s="15"/>
      <c r="BD12" s="3">
        <f>IF(BK12+BL12+BB12&lt;120,BB12,120-BK12-BL12)</f>
        <v>0</v>
      </c>
      <c r="BE12" s="3">
        <f>IF(BK12+BL12+BB12+BC12&lt;120,BC12,120-BK12-BL12-BD12)</f>
        <v>0</v>
      </c>
      <c r="BF12" s="15"/>
      <c r="BG12" s="15"/>
      <c r="BH12" s="2"/>
      <c r="BI12" s="2"/>
      <c r="BJ12" s="2"/>
      <c r="BK12" s="2">
        <f>IF(BF12&lt;120,BF12,120)</f>
        <v>0</v>
      </c>
      <c r="BL12" s="2">
        <f>IF(BF12+BG12&lt;120,BG12,120-BF12-BG12)</f>
        <v>0</v>
      </c>
      <c r="BM12" s="2">
        <f>AX12+AY12+BB12+BC12+BF12+BG12</f>
        <v>71</v>
      </c>
      <c r="BN12" s="2">
        <f>IF(BM12&gt;120,120,BM12)</f>
        <v>71</v>
      </c>
      <c r="BO12" s="2">
        <f>IF(AY12+BC12+BG12&lt;BM12/2,(BK12+BL12)*5.5+(BD12+BE12)*4+(AZ12+BA12)*3,BK12*5.5+BL12*5.5*0.85+BD12*4+BE12*4*0.85+AZ12*3+BA12*3*0.85)</f>
        <v>213</v>
      </c>
      <c r="BP12" s="6"/>
    </row>
  </sheetData>
  <autoFilter ref="A2:BP12" xr:uid="{00000000-0009-0000-0000-000001000000}">
    <filterColumn colId="10" showButton="0"/>
    <filterColumn colId="12" showButton="0"/>
    <filterColumn colId="14" showButton="0"/>
    <filterColumn colId="16" showButton="0"/>
    <filterColumn colId="18" showButton="0"/>
    <filterColumn colId="20" showButton="0"/>
    <filterColumn colId="23" showButton="0"/>
    <filterColumn colId="25" showButton="0"/>
    <filterColumn colId="27" showButton="0"/>
    <filterColumn colId="29" showButton="0"/>
    <filterColumn colId="32" showButton="0"/>
    <filterColumn colId="35" showButton="0"/>
    <filterColumn colId="37" showButton="0"/>
    <filterColumn colId="39" showButton="0"/>
    <filterColumn colId="46" showButton="0"/>
    <sortState ref="A3:BP12">
      <sortCondition descending="1" ref="J2:J12"/>
    </sortState>
  </autoFilter>
  <mergeCells count="16">
    <mergeCell ref="A1:J1"/>
    <mergeCell ref="AL2:AM2"/>
    <mergeCell ref="AN2:AO2"/>
    <mergeCell ref="AU2:AV2"/>
    <mergeCell ref="X2:Y2"/>
    <mergeCell ref="Z2:AA2"/>
    <mergeCell ref="AB2:AC2"/>
    <mergeCell ref="AD2:AE2"/>
    <mergeCell ref="AG2:AH2"/>
    <mergeCell ref="AJ2:AK2"/>
    <mergeCell ref="K2:L2"/>
    <mergeCell ref="M2:N2"/>
    <mergeCell ref="O2:P2"/>
    <mergeCell ref="Q2:R2"/>
    <mergeCell ref="S2:T2"/>
    <mergeCell ref="U2:V2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1</vt:i4>
      </vt:variant>
    </vt:vector>
  </HeadingPairs>
  <TitlesOfParts>
    <vt:vector size="2" baseType="lpstr">
      <vt:lpstr>ΟΙΚΟΝΟΜΙΚΩΝ ΥΠΗΡΕΣΙΩΝ</vt:lpstr>
      <vt:lpstr>'ΟΙΚΟΝΟΜΙΚΩΝ ΥΠΗΡΕΣΙΩΝ'!Print_Area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Makrylakis Eleftherios</cp:lastModifiedBy>
  <cp:lastPrinted>2024-06-29T07:51:56Z</cp:lastPrinted>
  <dcterms:created xsi:type="dcterms:W3CDTF">2018-03-21T16:26:00Z</dcterms:created>
  <dcterms:modified xsi:type="dcterms:W3CDTF">2024-07-01T11:04:35Z</dcterms:modified>
</cp:coreProperties>
</file>