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iles\ΕΙΣΕΠ ΑΝΕΞΑΡΤΗΤΩΝ\ΠΡΟΣΩΡΙΝΟΙ ΠΙΝΑΚΕΣ 31_1_2025\ΠΡΟΣΩΡΙΝΟΙ ΓΔ ΔΙΟΙΚΗΣΗΣ\"/>
    </mc:Choice>
  </mc:AlternateContent>
  <xr:revisionPtr revIDLastSave="0" documentId="13_ncr:1_{50437ACB-D33D-4330-B601-1A0295068E09}" xr6:coauthVersionLast="36" xr6:coauthVersionMax="36" xr10:uidLastSave="{00000000-0000-0000-0000-000000000000}"/>
  <bookViews>
    <workbookView xWindow="0" yWindow="0" windowWidth="23040" windowHeight="10455" xr2:uid="{00000000-000D-0000-FFFF-FFFF00000000}"/>
  </bookViews>
  <sheets>
    <sheet name="ΚΑΤΑ ΦΘΙΝΟΥΣΑ ΣΕΙΡΑ ΚΑΤΑΤΑΞΗΣ" sheetId="7" r:id="rId1"/>
  </sheets>
  <calcPr calcId="191029"/>
</workbook>
</file>

<file path=xl/calcChain.xml><?xml version="1.0" encoding="utf-8"?>
<calcChain xmlns="http://schemas.openxmlformats.org/spreadsheetml/2006/main">
  <c r="BM4" i="7" l="1"/>
  <c r="BL4" i="7"/>
  <c r="BK4" i="7"/>
  <c r="AV4" i="7"/>
  <c r="AW4" i="7" s="1"/>
  <c r="AR4" i="7"/>
  <c r="AO4" i="7"/>
  <c r="AM4" i="7"/>
  <c r="AK4" i="7"/>
  <c r="AH4" i="7"/>
  <c r="AI4" i="7" s="1"/>
  <c r="AE4" i="7"/>
  <c r="AC4" i="7"/>
  <c r="AA4" i="7"/>
  <c r="Y4" i="7"/>
  <c r="V4" i="7"/>
  <c r="T4" i="7"/>
  <c r="R4" i="7"/>
  <c r="P4" i="7"/>
  <c r="N4" i="7"/>
  <c r="L4" i="7"/>
  <c r="BM5" i="7"/>
  <c r="BL5" i="7"/>
  <c r="BK5" i="7"/>
  <c r="AV5" i="7"/>
  <c r="AW5" i="7" s="1"/>
  <c r="AR5" i="7"/>
  <c r="AO5" i="7"/>
  <c r="AM5" i="7"/>
  <c r="AK5" i="7"/>
  <c r="AH5" i="7"/>
  <c r="AI5" i="7" s="1"/>
  <c r="AE5" i="7"/>
  <c r="AC5" i="7"/>
  <c r="AA5" i="7"/>
  <c r="Y5" i="7"/>
  <c r="V5" i="7"/>
  <c r="T5" i="7"/>
  <c r="R5" i="7"/>
  <c r="P5" i="7"/>
  <c r="N5" i="7"/>
  <c r="L5" i="7"/>
  <c r="BM3" i="7"/>
  <c r="BL3" i="7"/>
  <c r="BK3" i="7"/>
  <c r="AW3" i="7"/>
  <c r="AR3" i="7"/>
  <c r="AO3" i="7"/>
  <c r="AM3" i="7"/>
  <c r="AK3" i="7"/>
  <c r="AH3" i="7"/>
  <c r="AI3" i="7" s="1"/>
  <c r="AE3" i="7"/>
  <c r="AC3" i="7"/>
  <c r="AA3" i="7"/>
  <c r="Y3" i="7"/>
  <c r="V3" i="7"/>
  <c r="T3" i="7"/>
  <c r="R3" i="7"/>
  <c r="P3" i="7"/>
  <c r="N3" i="7"/>
  <c r="L3" i="7"/>
  <c r="BM6" i="7"/>
  <c r="BN6" i="7" s="1"/>
  <c r="BL6" i="7"/>
  <c r="BK6" i="7"/>
  <c r="BE6" i="7" s="1"/>
  <c r="AV6" i="7"/>
  <c r="AW6" i="7" s="1"/>
  <c r="AR6" i="7"/>
  <c r="AO6" i="7"/>
  <c r="AM6" i="7"/>
  <c r="AK6" i="7"/>
  <c r="AH6" i="7"/>
  <c r="AI6" i="7" s="1"/>
  <c r="AE6" i="7"/>
  <c r="AC6" i="7"/>
  <c r="AA6" i="7"/>
  <c r="AF6" i="7" s="1"/>
  <c r="Y6" i="7"/>
  <c r="V6" i="7"/>
  <c r="T6" i="7"/>
  <c r="R6" i="7"/>
  <c r="P6" i="7"/>
  <c r="N6" i="7"/>
  <c r="L6" i="7"/>
  <c r="AP4" i="7" l="1"/>
  <c r="W4" i="7"/>
  <c r="AP5" i="7"/>
  <c r="AF4" i="7"/>
  <c r="D4" i="7" s="1"/>
  <c r="AP6" i="7"/>
  <c r="AP3" i="7"/>
  <c r="W6" i="7"/>
  <c r="W3" i="7"/>
  <c r="D3" i="7" s="1"/>
  <c r="F3" i="7" s="1"/>
  <c r="W5" i="7"/>
  <c r="AS6" i="7"/>
  <c r="AT6" i="7" s="1"/>
  <c r="AF3" i="7"/>
  <c r="AF5" i="7"/>
  <c r="BE5" i="7"/>
  <c r="BD3" i="7"/>
  <c r="BD6" i="7"/>
  <c r="BN3" i="7"/>
  <c r="AS3" i="7" s="1"/>
  <c r="AT3" i="7" s="1"/>
  <c r="BN5" i="7"/>
  <c r="AS5" i="7" s="1"/>
  <c r="AT5" i="7" s="1"/>
  <c r="BN4" i="7"/>
  <c r="AS4" i="7" s="1"/>
  <c r="AT4" i="7" s="1"/>
  <c r="BD5" i="7"/>
  <c r="AZ5" i="7" s="1"/>
  <c r="BD4" i="7"/>
  <c r="BE4" i="7" s="1"/>
  <c r="AZ4" i="7" s="1"/>
  <c r="D6" i="7" l="1"/>
  <c r="F4" i="7"/>
  <c r="E4" i="7"/>
  <c r="F6" i="7"/>
  <c r="E6" i="7"/>
  <c r="E3" i="7"/>
  <c r="D5" i="7"/>
  <c r="BA5" i="7"/>
  <c r="BO5" i="7" s="1"/>
  <c r="G5" i="7" s="1"/>
  <c r="H5" i="7" s="1"/>
  <c r="I5" i="7" s="1"/>
  <c r="BA4" i="7"/>
  <c r="BO4" i="7" s="1"/>
  <c r="G4" i="7" s="1"/>
  <c r="H4" i="7" s="1"/>
  <c r="I4" i="7" s="1"/>
  <c r="J4" i="7" s="1"/>
  <c r="AZ6" i="7"/>
  <c r="BA6" i="7" s="1"/>
  <c r="BE3" i="7"/>
  <c r="AZ3" i="7" s="1"/>
  <c r="F5" i="7" l="1"/>
  <c r="E5" i="7"/>
  <c r="J5" i="7"/>
  <c r="BA3" i="7"/>
  <c r="BO3" i="7" s="1"/>
  <c r="G3" i="7" s="1"/>
  <c r="H3" i="7" s="1"/>
  <c r="I3" i="7" s="1"/>
  <c r="J3" i="7" s="1"/>
  <c r="BO6" i="7"/>
  <c r="G6" i="7" s="1"/>
  <c r="H6" i="7" s="1"/>
  <c r="I6" i="7" s="1"/>
  <c r="J6" i="7" s="1"/>
</calcChain>
</file>

<file path=xl/sharedStrings.xml><?xml version="1.0" encoding="utf-8"?>
<sst xmlns="http://schemas.openxmlformats.org/spreadsheetml/2006/main" count="61" uniqueCount="61">
  <si>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</si>
  <si>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</si>
  <si>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</si>
  <si>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</si>
  <si>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</si>
  <si>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</si>
  <si>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</si>
  <si>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</si>
  <si>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</si>
  <si>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</si>
  <si>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</si>
  <si>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</si>
  <si>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</si>
  <si>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</si>
  <si>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</si>
  <si>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</si>
  <si>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</si>
  <si>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</si>
  <si>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</si>
  <si>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</si>
  <si>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</si>
  <si>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</si>
  <si>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</si>
  <si>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</si>
  <si>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</si>
  <si>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</si>
  <si>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</si>
  <si>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</si>
  <si>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</si>
  <si>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</si>
  <si>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</si>
  <si>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</si>
  <si>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</si>
  <si>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</si>
  <si>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</si>
  <si>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</si>
  <si>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</si>
  <si>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</si>
  <si>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</si>
  <si>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</si>
  <si>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</si>
  <si>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</si>
  <si>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</si>
  <si>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</si>
  <si>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</si>
  <si>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</si>
  <si>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</si>
  <si>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</si>
  <si>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</si>
  <si>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</si>
  <si>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</si>
  <si>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</si>
  <si>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r>
      <rPr>
        <b/>
        <sz val="14"/>
        <color theme="1"/>
        <rFont val="Arial"/>
        <family val="2"/>
        <charset val="161"/>
      </rPr>
      <t>Προσωρινός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Διοίκησης και Οργάνωσης 
ΕΛΛΗΝΙΚΗ ΣΤΑΤΙΣΤΙΚΗ ΑΡΧΗ
 </t>
    </r>
    <r>
      <rPr>
        <sz val="12"/>
        <color theme="1"/>
        <rFont val="Arial"/>
        <family val="2"/>
        <charset val="161"/>
      </rPr>
      <t xml:space="preserve">  ΠΡΟΚΗΡΥΞΗ: 3243/Α1-2756/25.05.2021 (ΑΔΑ: 656Χ6ΣΙ-Ψ4Ρ)</t>
    </r>
  </si>
  <si>
    <t>ΓΕΩΡΓΙΟΥ</t>
  </si>
  <si>
    <t>ΓΕΩΡΓΙΟΣ</t>
  </si>
  <si>
    <t>ΜΟΣΧΑΚΗΣ</t>
  </si>
  <si>
    <t>ΙΩΑΝΝΗΣ</t>
  </si>
  <si>
    <t>ΠΙΠΕΡΑΚΗ</t>
  </si>
  <si>
    <t>ΑΝΔΡΟΜΑΧΗ</t>
  </si>
  <si>
    <t>ΣΤΡΟΜΠΛΟΣ</t>
  </si>
  <si>
    <t>ΝΙΚΟΛΑΟΣ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</si>
</sst>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/>
    <xf numFmtId="0" fontId="2" fillId="0" borderId="1" xfId="0" applyFont="1" applyFill="1" applyBorder="1"/>
    <xf numFmtId="0" fontId="2" fillId="2" borderId="0" xfId="0" applyFont="1" applyFill="1"/>
    <xf numFmtId="0" fontId="2" fillId="2" borderId="1" xfId="0" applyFont="1" applyFill="1" applyBorder="1"/>
    <xf numFmtId="0" fontId="2" fillId="3" borderId="2" xfId="0" applyFont="1" applyFill="1" applyBorder="1"/>
    <xf numFmtId="0" fontId="2" fillId="3" borderId="1" xfId="0" applyFont="1" applyFill="1" applyBorder="1"/>
    <xf numFmtId="0" fontId="7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/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3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P6"/>
  <sheetViews>
    <sheetView tabSelected="1" workbookViewId="0">
      <selection activeCell="K15" sqref="K15"/>
    </sheetView>
  </sheetViews>
  <sheetFormatPr defaultRowHeight="15" x14ac:dyDescent="0.25"/>
  <cols>
    <col min="2" max="2" width="19" bestFit="1" customWidth="1"/>
    <col min="3" max="3" width="22.140625" bestFit="1" customWidth="1"/>
    <col min="4" max="4" width="8.85546875" bestFit="1" customWidth="1"/>
    <col min="56" max="56" width="8.7109375" bestFit="1" customWidth="1"/>
    <col min="57" max="57" width="9.28515625" bestFit="1" customWidth="1"/>
    <col min="58" max="58" width="9" bestFit="1" customWidth="1"/>
    <col min="59" max="60" width="10.85546875" bestFit="1" customWidth="1"/>
    <col min="61" max="62" width="13.42578125" bestFit="1" customWidth="1"/>
    <col min="63" max="63" width="9.42578125" bestFit="1" customWidth="1"/>
  </cols>
  <sheetData>
    <row r="1" spans="1:68" ht="93.75" customHeight="1" x14ac:dyDescent="0.35">
      <c r="A1" s="19" t="s">
        <v>52</v>
      </c>
      <c r="B1" s="19"/>
      <c r="C1" s="19"/>
      <c r="D1" s="19"/>
      <c r="E1" s="19"/>
      <c r="F1" s="19"/>
      <c r="G1" s="19"/>
      <c r="H1" s="19"/>
      <c r="I1" s="19"/>
      <c r="J1" s="19"/>
      <c r="K1" s="7"/>
      <c r="L1" s="7"/>
      <c r="M1" s="7"/>
      <c r="N1" s="7"/>
    </row>
    <row r="2" spans="1:68" s="10" customFormat="1" ht="120" x14ac:dyDescent="0.25">
      <c r="A2" s="8" t="s">
        <v>0</v>
      </c>
      <c r="B2" s="8" t="s">
        <v>10</v>
      </c>
      <c r="C2" s="8" t="s">
        <v>11</v>
      </c>
      <c r="D2" s="11" t="s">
        <v>1</v>
      </c>
      <c r="E2" s="11" t="s">
        <v>40</v>
      </c>
      <c r="F2" s="11" t="s">
        <v>41</v>
      </c>
      <c r="G2" s="11" t="s">
        <v>42</v>
      </c>
      <c r="H2" s="11" t="s">
        <v>43</v>
      </c>
      <c r="I2" s="11" t="s">
        <v>44</v>
      </c>
      <c r="J2" s="11" t="s">
        <v>45</v>
      </c>
      <c r="K2" s="18" t="s">
        <v>2</v>
      </c>
      <c r="L2" s="18"/>
      <c r="M2" s="18" t="s">
        <v>3</v>
      </c>
      <c r="N2" s="18"/>
      <c r="O2" s="18" t="s">
        <v>5</v>
      </c>
      <c r="P2" s="18"/>
      <c r="Q2" s="18" t="s">
        <v>14</v>
      </c>
      <c r="R2" s="18"/>
      <c r="S2" s="18" t="s">
        <v>12</v>
      </c>
      <c r="T2" s="18"/>
      <c r="U2" s="8" t="s">
        <v>13</v>
      </c>
      <c r="V2" s="8"/>
      <c r="W2" s="8" t="s">
        <v>46</v>
      </c>
      <c r="X2" s="18" t="s">
        <v>47</v>
      </c>
      <c r="Y2" s="18"/>
      <c r="Z2" s="18" t="s">
        <v>4</v>
      </c>
      <c r="AA2" s="18"/>
      <c r="AB2" s="16" t="s">
        <v>15</v>
      </c>
      <c r="AC2" s="17"/>
      <c r="AD2" s="16" t="s">
        <v>16</v>
      </c>
      <c r="AE2" s="17"/>
      <c r="AF2" s="8" t="s">
        <v>48</v>
      </c>
      <c r="AG2" s="18" t="s">
        <v>8</v>
      </c>
      <c r="AH2" s="18"/>
      <c r="AI2" s="8" t="s">
        <v>49</v>
      </c>
      <c r="AJ2" s="18" t="s">
        <v>6</v>
      </c>
      <c r="AK2" s="18"/>
      <c r="AL2" s="18" t="s">
        <v>50</v>
      </c>
      <c r="AM2" s="18"/>
      <c r="AN2" s="18" t="s">
        <v>7</v>
      </c>
      <c r="AO2" s="18"/>
      <c r="AP2" s="8" t="s">
        <v>51</v>
      </c>
      <c r="AQ2" s="8" t="s">
        <v>17</v>
      </c>
      <c r="AR2" s="16" t="s">
        <v>29</v>
      </c>
      <c r="AS2" s="17" t="s">
        <v>33</v>
      </c>
      <c r="AT2" s="9" t="s">
        <v>28</v>
      </c>
      <c r="AU2" s="16" t="s">
        <v>18</v>
      </c>
      <c r="AV2" s="17"/>
      <c r="AW2" s="9" t="s">
        <v>9</v>
      </c>
      <c r="AX2" s="8" t="s">
        <v>19</v>
      </c>
      <c r="AY2" s="8" t="s">
        <v>20</v>
      </c>
      <c r="AZ2" s="8" t="s">
        <v>34</v>
      </c>
      <c r="BA2" s="8" t="s">
        <v>35</v>
      </c>
      <c r="BB2" s="8" t="s">
        <v>21</v>
      </c>
      <c r="BC2" s="8" t="s">
        <v>22</v>
      </c>
      <c r="BD2" s="8" t="s">
        <v>36</v>
      </c>
      <c r="BE2" s="8" t="s">
        <v>37</v>
      </c>
      <c r="BF2" s="8" t="s">
        <v>23</v>
      </c>
      <c r="BG2" s="8" t="s">
        <v>24</v>
      </c>
      <c r="BH2" s="8" t="s">
        <v>25</v>
      </c>
      <c r="BI2" s="8" t="s">
        <v>26</v>
      </c>
      <c r="BJ2" s="8" t="s">
        <v>27</v>
      </c>
      <c r="BK2" s="8" t="s">
        <v>38</v>
      </c>
      <c r="BL2" s="8" t="s">
        <v>39</v>
      </c>
      <c r="BM2" s="8" t="s">
        <v>30</v>
      </c>
      <c r="BN2" s="8" t="s">
        <v>31</v>
      </c>
      <c r="BO2" s="8" t="s">
        <v>32</v>
      </c>
    </row>
    <row r="3" spans="1:68" s="3" customFormat="1" ht="16.5" x14ac:dyDescent="0.3">
      <c r="A3" s="14">
        <v>1</v>
      </c>
      <c r="B3" s="15" t="s">
        <v>55</v>
      </c>
      <c r="C3" s="15" t="s">
        <v>56</v>
      </c>
      <c r="D3" s="12">
        <f>IF((L3+N3+W3+Y3+AF3+AI3+AP3)&gt;1000,1000,L3+N3+W3+Y3+AF3+AI3+AP3)</f>
        <v>760</v>
      </c>
      <c r="E3" s="12">
        <f>IF(D3&gt;1000,1000,D3)</f>
        <v>760</v>
      </c>
      <c r="F3" s="12">
        <f>D3*33%</f>
        <v>250.8</v>
      </c>
      <c r="G3" s="12">
        <f>AT3+AV3+BO3</f>
        <v>999</v>
      </c>
      <c r="H3" s="12">
        <f>IF(G3&gt;1000,1000,G3)</f>
        <v>999</v>
      </c>
      <c r="I3" s="12">
        <f>H3*33%</f>
        <v>329.67</v>
      </c>
      <c r="J3" s="13">
        <f>F3+I3</f>
        <v>580.47</v>
      </c>
      <c r="K3" s="5">
        <v>1</v>
      </c>
      <c r="L3" s="1">
        <f>K3*100</f>
        <v>100</v>
      </c>
      <c r="M3" s="6"/>
      <c r="N3" s="1">
        <f>M3*30</f>
        <v>0</v>
      </c>
      <c r="O3" s="6">
        <v>1</v>
      </c>
      <c r="P3" s="1">
        <f>O3*200</f>
        <v>200</v>
      </c>
      <c r="Q3" s="6"/>
      <c r="R3" s="1">
        <f>Q3*70</f>
        <v>0</v>
      </c>
      <c r="S3" s="6"/>
      <c r="T3" s="1">
        <f>S3*150</f>
        <v>0</v>
      </c>
      <c r="U3" s="6"/>
      <c r="V3" s="1">
        <f>IF(U3&gt;0,50,U3)</f>
        <v>0</v>
      </c>
      <c r="W3" s="1">
        <f>IF((P3+R3+T3+V3)&gt;250,250,P3+R3+T3+V3)</f>
        <v>200</v>
      </c>
      <c r="X3" s="6"/>
      <c r="Y3" s="1">
        <f>X3*275</f>
        <v>0</v>
      </c>
      <c r="Z3" s="6">
        <v>1</v>
      </c>
      <c r="AA3" s="1">
        <f>Z3*350</f>
        <v>350</v>
      </c>
      <c r="AB3" s="6"/>
      <c r="AC3" s="1">
        <f>AB3*100</f>
        <v>0</v>
      </c>
      <c r="AD3" s="6"/>
      <c r="AE3" s="1">
        <f>IF(AD3&gt;0,70,AD3)</f>
        <v>0</v>
      </c>
      <c r="AF3" s="1">
        <f>IF((AA3+AC3+AE3)&gt;420,420,AA3+AC3+AE3)</f>
        <v>350</v>
      </c>
      <c r="AG3" s="6">
        <v>2</v>
      </c>
      <c r="AH3" s="1">
        <f>AG3*5</f>
        <v>10</v>
      </c>
      <c r="AI3" s="1">
        <f>IF(AH3&gt;20,20,AH3)</f>
        <v>10</v>
      </c>
      <c r="AJ3" s="6">
        <v>2</v>
      </c>
      <c r="AK3" s="1">
        <f>AJ3*50</f>
        <v>100</v>
      </c>
      <c r="AL3" s="6"/>
      <c r="AM3" s="1">
        <f>AL3*30</f>
        <v>0</v>
      </c>
      <c r="AN3" s="6"/>
      <c r="AO3" s="1">
        <f>AN3*10</f>
        <v>0</v>
      </c>
      <c r="AP3" s="1">
        <f>IF((AK3+AM3+AO3)&gt;100,100,AK3+AM3+AO3)</f>
        <v>100</v>
      </c>
      <c r="AQ3" s="6">
        <v>403</v>
      </c>
      <c r="AR3" s="1">
        <f>IF(AQ3&gt;396,396,AQ3)</f>
        <v>396</v>
      </c>
      <c r="AS3" s="1">
        <f>AR3-BN3</f>
        <v>276</v>
      </c>
      <c r="AT3" s="1">
        <f>AS3*1.5</f>
        <v>414</v>
      </c>
      <c r="AU3" s="6"/>
      <c r="AV3" s="1">
        <v>0</v>
      </c>
      <c r="AW3" s="1">
        <f>IF(AV3&gt;84,84,AV3)</f>
        <v>0</v>
      </c>
      <c r="AX3" s="6">
        <v>84</v>
      </c>
      <c r="AY3" s="6"/>
      <c r="AZ3" s="2">
        <f>IF(BK3+BL3+BD3+BE3+AX3&lt;120,AX3,120-BK3-BL3-BD3-BE3)</f>
        <v>0</v>
      </c>
      <c r="BA3" s="2">
        <f>IF(BK3+BL3+BD3+BE3+AZ3+AY3&lt;120,AY3,120-BK3-BL3-BD3-BE3-AZ3)</f>
        <v>0</v>
      </c>
      <c r="BB3" s="6">
        <v>85</v>
      </c>
      <c r="BC3" s="6"/>
      <c r="BD3" s="2">
        <f>IF(BK3+BL3+BB3&lt;120,BB3,120-BK3-BL3)</f>
        <v>50</v>
      </c>
      <c r="BE3" s="2">
        <f>IF(BK3+BL3+BB3+BC3&lt;120,BC3,120-BK3-BL3-BD3)</f>
        <v>0</v>
      </c>
      <c r="BF3" s="6">
        <v>70</v>
      </c>
      <c r="BG3" s="6"/>
      <c r="BH3" s="1">
        <v>0</v>
      </c>
      <c r="BI3" s="1">
        <v>0</v>
      </c>
      <c r="BJ3" s="1"/>
      <c r="BK3" s="1">
        <f>IF(BF3&lt;120,BF3,120)</f>
        <v>70</v>
      </c>
      <c r="BL3" s="1">
        <f>IF(BF3+BG3&lt;120,BG3,120-BF3-BG3)</f>
        <v>0</v>
      </c>
      <c r="BM3" s="1">
        <f>AX3+AY3+BB3+BC3+BF3+BG3</f>
        <v>239</v>
      </c>
      <c r="BN3" s="1">
        <f>IF(BM3&gt;120,120,BM3)</f>
        <v>120</v>
      </c>
      <c r="BO3" s="1">
        <f>IF(AY3+BC3+BG3&lt;BM3/2,(BK3+BL3)*5.5+(BD3+BE3)*4+(AZ3+BA3)*3,BK3*5.5+BL3*5.5*0.85+BD3*4+BE3*4*0.85+AZ3*3+BA3*3*0.85)</f>
        <v>585</v>
      </c>
      <c r="BP3" s="4"/>
    </row>
    <row r="4" spans="1:68" s="3" customFormat="1" ht="16.5" x14ac:dyDescent="0.3">
      <c r="A4" s="14">
        <v>2</v>
      </c>
      <c r="B4" s="15" t="s">
        <v>59</v>
      </c>
      <c r="C4" s="15" t="s">
        <v>60</v>
      </c>
      <c r="D4" s="12">
        <f>IF((L4+N4+W4+Y4+AF4+AI4+AP4)&gt;1000,1000,L4+N4+W4+Y4+AF4+AI4+AP4)</f>
        <v>700</v>
      </c>
      <c r="E4" s="12">
        <f>IF(D4&gt;1000,1000,D4)</f>
        <v>700</v>
      </c>
      <c r="F4" s="12">
        <f>D4*33%</f>
        <v>231</v>
      </c>
      <c r="G4" s="12">
        <f>AT4+AV4+BO4</f>
        <v>882</v>
      </c>
      <c r="H4" s="12">
        <f>IF(G4&gt;1000,1000,G4)</f>
        <v>882</v>
      </c>
      <c r="I4" s="12">
        <f>H4*33%</f>
        <v>291.06</v>
      </c>
      <c r="J4" s="13">
        <f>F4+I4</f>
        <v>522.05999999999995</v>
      </c>
      <c r="K4" s="5">
        <v>1</v>
      </c>
      <c r="L4" s="1">
        <f>K4*100</f>
        <v>100</v>
      </c>
      <c r="M4" s="6"/>
      <c r="N4" s="1">
        <f>M4*30</f>
        <v>0</v>
      </c>
      <c r="O4" s="6">
        <v>1</v>
      </c>
      <c r="P4" s="1">
        <f>O4*200</f>
        <v>200</v>
      </c>
      <c r="Q4" s="6"/>
      <c r="R4" s="1">
        <f>Q4*70</f>
        <v>0</v>
      </c>
      <c r="S4" s="6"/>
      <c r="T4" s="1">
        <f>S4*150</f>
        <v>0</v>
      </c>
      <c r="U4" s="6"/>
      <c r="V4" s="1">
        <f>IF(U4&gt;0,50,U4)</f>
        <v>0</v>
      </c>
      <c r="W4" s="1">
        <f>IF((P4+R4+T4+V4)&gt;250,250,P4+R4+T4+V4)</f>
        <v>200</v>
      </c>
      <c r="X4" s="6"/>
      <c r="Y4" s="1">
        <f>X4*275</f>
        <v>0</v>
      </c>
      <c r="Z4" s="6">
        <v>1</v>
      </c>
      <c r="AA4" s="1">
        <f>Z4*350</f>
        <v>350</v>
      </c>
      <c r="AB4" s="6"/>
      <c r="AC4" s="1">
        <f>AB4*100</f>
        <v>0</v>
      </c>
      <c r="AD4" s="6"/>
      <c r="AE4" s="1">
        <f>IF(AD4&gt;0,70,AD4)</f>
        <v>0</v>
      </c>
      <c r="AF4" s="1">
        <f>IF((AA4+AC4+AE4)&gt;420,420,AA4+AC4+AE4)</f>
        <v>350</v>
      </c>
      <c r="AG4" s="6"/>
      <c r="AH4" s="1">
        <f>AG4*5</f>
        <v>0</v>
      </c>
      <c r="AI4" s="1">
        <f>IF(AH4&gt;20,20,AH4)</f>
        <v>0</v>
      </c>
      <c r="AJ4" s="6">
        <v>1</v>
      </c>
      <c r="AK4" s="1">
        <f>AJ4*50</f>
        <v>50</v>
      </c>
      <c r="AL4" s="6"/>
      <c r="AM4" s="1">
        <f>AL4*30</f>
        <v>0</v>
      </c>
      <c r="AN4" s="6"/>
      <c r="AO4" s="1">
        <f>AN4*10</f>
        <v>0</v>
      </c>
      <c r="AP4" s="1">
        <f>IF((AK4+AM4+AO4)&gt;100,100,AK4+AM4+AO4)</f>
        <v>50</v>
      </c>
      <c r="AQ4" s="6">
        <v>388</v>
      </c>
      <c r="AR4" s="1">
        <f>IF(AQ4&gt;396,396,AQ4)</f>
        <v>388</v>
      </c>
      <c r="AS4" s="1">
        <f>AR4-BN4</f>
        <v>268</v>
      </c>
      <c r="AT4" s="1">
        <f>AS4*1.5</f>
        <v>402</v>
      </c>
      <c r="AU4" s="6"/>
      <c r="AV4" s="1">
        <f>AU4*1</f>
        <v>0</v>
      </c>
      <c r="AW4" s="1">
        <f>IF(AV4&gt;84,84,AV4)</f>
        <v>0</v>
      </c>
      <c r="AX4" s="6">
        <v>50</v>
      </c>
      <c r="AY4" s="6"/>
      <c r="AZ4" s="2">
        <f>IF(BK4+BL4+BD4+BE4+AX4&lt;120,AX4,120-BK4-BL4-BD4-BE4)</f>
        <v>0</v>
      </c>
      <c r="BA4" s="2">
        <f>IF(BK4+BL4+BD4+BE4+AZ4+AY4&lt;120,AY4,120-BK4-BL4-BD4-BE4-AZ4)</f>
        <v>0</v>
      </c>
      <c r="BB4" s="6">
        <v>180</v>
      </c>
      <c r="BC4" s="6"/>
      <c r="BD4" s="2">
        <f>IF(BK4+BL4+BB4&lt;120,BB4,120-BK4-BL4)</f>
        <v>120</v>
      </c>
      <c r="BE4" s="2">
        <f>IF(BK4+BL4+BB4+BC4&lt;120,BC4,120-BK4-BL4-BD4)</f>
        <v>0</v>
      </c>
      <c r="BF4" s="6"/>
      <c r="BG4" s="6"/>
      <c r="BH4" s="1"/>
      <c r="BI4" s="1"/>
      <c r="BJ4" s="1"/>
      <c r="BK4" s="1">
        <f>IF(BF4&lt;120,BF4,120)</f>
        <v>0</v>
      </c>
      <c r="BL4" s="1">
        <f>IF(BF4+BG4&lt;120,BG4,120-BF4-BG4)</f>
        <v>0</v>
      </c>
      <c r="BM4" s="1">
        <f>AX4+AY4+BB4+BC4+BF4+BG4</f>
        <v>230</v>
      </c>
      <c r="BN4" s="1">
        <f>IF(BM4&gt;120,120,BM4)</f>
        <v>120</v>
      </c>
      <c r="BO4" s="1">
        <f>IF(AY4+BC4+BG4&lt;BM4/2,(BK4+BL4)*5.5+(BD4+BE4)*4+(AZ4+BA4)*3,BK4*5.5+BL4*5.5*0.85+BD4*4+BE4*4*0.85+AZ4*3+BA4*3*0.85)</f>
        <v>480</v>
      </c>
      <c r="BP4" s="4"/>
    </row>
    <row r="5" spans="1:68" s="3" customFormat="1" ht="16.5" x14ac:dyDescent="0.3">
      <c r="A5" s="14">
        <v>3</v>
      </c>
      <c r="B5" s="15" t="s">
        <v>57</v>
      </c>
      <c r="C5" s="15" t="s">
        <v>58</v>
      </c>
      <c r="D5" s="12">
        <f>IF((L5+N5+W5+Y5+AF5+AI5+AP5)&gt;1000,1000,L5+N5+W5+Y5+AF5+AI5+AP5)</f>
        <v>705</v>
      </c>
      <c r="E5" s="12">
        <f>IF(D5&gt;1000,1000,D5)</f>
        <v>705</v>
      </c>
      <c r="F5" s="12">
        <f>D5*33%</f>
        <v>232.65</v>
      </c>
      <c r="G5" s="12">
        <f>AT5+AV5+BO5</f>
        <v>770.5</v>
      </c>
      <c r="H5" s="12">
        <f>IF(G5&gt;1000,1000,G5)</f>
        <v>770.5</v>
      </c>
      <c r="I5" s="12">
        <f>H5*33%</f>
        <v>254.26500000000001</v>
      </c>
      <c r="J5" s="13">
        <f>F5+I5</f>
        <v>486.91500000000002</v>
      </c>
      <c r="K5" s="5">
        <v>1</v>
      </c>
      <c r="L5" s="1">
        <f>K5*100</f>
        <v>100</v>
      </c>
      <c r="M5" s="6"/>
      <c r="N5" s="1">
        <f>M5*30</f>
        <v>0</v>
      </c>
      <c r="O5" s="6">
        <v>1</v>
      </c>
      <c r="P5" s="1">
        <f>O5*200</f>
        <v>200</v>
      </c>
      <c r="Q5" s="6"/>
      <c r="R5" s="1">
        <f>Q5*70</f>
        <v>0</v>
      </c>
      <c r="S5" s="6"/>
      <c r="T5" s="1">
        <f>S5*150</f>
        <v>0</v>
      </c>
      <c r="U5" s="6"/>
      <c r="V5" s="1">
        <f>IF(U5&gt;0,50,U5)</f>
        <v>0</v>
      </c>
      <c r="W5" s="1">
        <f>IF((P5+R5+T5+V5)&gt;250,250,P5+R5+T5+V5)</f>
        <v>200</v>
      </c>
      <c r="X5" s="6"/>
      <c r="Y5" s="1">
        <f>X5*275</f>
        <v>0</v>
      </c>
      <c r="Z5" s="6">
        <v>1</v>
      </c>
      <c r="AA5" s="1">
        <f>Z5*350</f>
        <v>350</v>
      </c>
      <c r="AB5" s="6"/>
      <c r="AC5" s="1">
        <f>AB5*100</f>
        <v>0</v>
      </c>
      <c r="AD5" s="6"/>
      <c r="AE5" s="1">
        <f>IF(AD5&gt;0,70,AD5)</f>
        <v>0</v>
      </c>
      <c r="AF5" s="1">
        <f>IF((AA5+AC5+AE5)&gt;420,420,AA5+AC5+AE5)</f>
        <v>350</v>
      </c>
      <c r="AG5" s="6">
        <v>1</v>
      </c>
      <c r="AH5" s="1">
        <f>AG5*5</f>
        <v>5</v>
      </c>
      <c r="AI5" s="1">
        <f>IF(AH5&gt;20,20,AH5)</f>
        <v>5</v>
      </c>
      <c r="AJ5" s="6">
        <v>1</v>
      </c>
      <c r="AK5" s="1">
        <f>AJ5*50</f>
        <v>50</v>
      </c>
      <c r="AL5" s="6"/>
      <c r="AM5" s="1">
        <f>AL5*30</f>
        <v>0</v>
      </c>
      <c r="AN5" s="6"/>
      <c r="AO5" s="1">
        <f>AN5*10</f>
        <v>0</v>
      </c>
      <c r="AP5" s="1">
        <f>IF((AK5+AM5+AO5)&gt;100,100,AK5+AM5+AO5)</f>
        <v>50</v>
      </c>
      <c r="AQ5" s="6">
        <v>337</v>
      </c>
      <c r="AR5" s="1">
        <f>IF(AQ5&gt;396,396,AQ5)</f>
        <v>337</v>
      </c>
      <c r="AS5" s="1">
        <f>AR5-BN5</f>
        <v>217</v>
      </c>
      <c r="AT5" s="1">
        <f>AS5*1.5</f>
        <v>325.5</v>
      </c>
      <c r="AU5" s="6"/>
      <c r="AV5" s="1">
        <f>AU5*1</f>
        <v>0</v>
      </c>
      <c r="AW5" s="1">
        <f>IF(AV5&gt;84,84,AV5)</f>
        <v>0</v>
      </c>
      <c r="AX5" s="6">
        <v>39</v>
      </c>
      <c r="AY5" s="6"/>
      <c r="AZ5" s="2">
        <f>IF(BK5+BL5+BD5+BE5+AX5&lt;120,AX5,120-BK5-BL5-BD5-BE5)</f>
        <v>35</v>
      </c>
      <c r="BA5" s="2">
        <f>IF(BK5+BL5+BD5+BE5+AZ5+AY5&lt;120,AY5,120-BK5-BL5-BD5-BE5-AZ5)</f>
        <v>0</v>
      </c>
      <c r="BB5" s="6">
        <v>85</v>
      </c>
      <c r="BC5" s="6"/>
      <c r="BD5" s="2">
        <f>IF(BK5+BL5+BB5&lt;120,BB5,120-BK5-BL5)</f>
        <v>85</v>
      </c>
      <c r="BE5" s="2">
        <f>IF(BK5+BL5+BB5+BC5&lt;120,BC5,120-BK5-BL5-BD5)</f>
        <v>0</v>
      </c>
      <c r="BF5" s="6"/>
      <c r="BG5" s="6"/>
      <c r="BH5" s="1"/>
      <c r="BI5" s="1"/>
      <c r="BJ5" s="1"/>
      <c r="BK5" s="1">
        <f>IF(BF5&lt;120,BF5,120)</f>
        <v>0</v>
      </c>
      <c r="BL5" s="1">
        <f>IF(BF5+BG5&lt;120,BG5,120-BF5-BG5)</f>
        <v>0</v>
      </c>
      <c r="BM5" s="1">
        <f>AX5+AY5+BB5+BC5+BF5+BG5</f>
        <v>124</v>
      </c>
      <c r="BN5" s="1">
        <f>IF(BM5&gt;120,120,BM5)</f>
        <v>120</v>
      </c>
      <c r="BO5" s="1">
        <f>IF(AY5+BC5+BG5&lt;BM5/2,(BK5+BL5)*5.5+(BD5+BE5)*4+(AZ5+BA5)*3,BK5*5.5+BL5*5.5*0.85+BD5*4+BE5*4*0.85+AZ5*3+BA5*3*0.85)</f>
        <v>445</v>
      </c>
      <c r="BP5" s="4"/>
    </row>
    <row r="6" spans="1:68" s="3" customFormat="1" ht="16.5" x14ac:dyDescent="0.3">
      <c r="A6" s="14">
        <v>4</v>
      </c>
      <c r="B6" s="15" t="s">
        <v>53</v>
      </c>
      <c r="C6" s="15" t="s">
        <v>54</v>
      </c>
      <c r="D6" s="12">
        <f>IF((L6+N6+W6+Y6+AF6+AI6+AP6)&gt;1000,1000,L6+N6+W6+Y6+AF6+AI6+AP6)</f>
        <v>730</v>
      </c>
      <c r="E6" s="12">
        <f>IF(D6&gt;1000,1000,D6)</f>
        <v>730</v>
      </c>
      <c r="F6" s="12">
        <f>D6*33%</f>
        <v>240.9</v>
      </c>
      <c r="G6" s="12">
        <f>AT6+AV6+BO6</f>
        <v>639.5</v>
      </c>
      <c r="H6" s="12">
        <f>IF(G6&gt;1000,1000,G6)</f>
        <v>639.5</v>
      </c>
      <c r="I6" s="12">
        <f>H6*33%</f>
        <v>211.035</v>
      </c>
      <c r="J6" s="13">
        <f>F6+I6</f>
        <v>451.935</v>
      </c>
      <c r="K6" s="5">
        <v>1</v>
      </c>
      <c r="L6" s="1">
        <f>K6*100</f>
        <v>100</v>
      </c>
      <c r="M6" s="6"/>
      <c r="N6" s="1">
        <f>M6*30</f>
        <v>0</v>
      </c>
      <c r="O6" s="6">
        <v>1</v>
      </c>
      <c r="P6" s="1">
        <f>O6*200</f>
        <v>200</v>
      </c>
      <c r="Q6" s="6"/>
      <c r="R6" s="1">
        <f>Q6*70</f>
        <v>0</v>
      </c>
      <c r="S6" s="6"/>
      <c r="T6" s="1">
        <f>S6*150</f>
        <v>0</v>
      </c>
      <c r="U6" s="6"/>
      <c r="V6" s="1">
        <f>IF(U6&gt;0,50,U6)</f>
        <v>0</v>
      </c>
      <c r="W6" s="1">
        <f>IF((P6+R6+T6+V6)&gt;250,250,P6+R6+T6+V6)</f>
        <v>200</v>
      </c>
      <c r="X6" s="6"/>
      <c r="Y6" s="1">
        <f>X6*275</f>
        <v>0</v>
      </c>
      <c r="Z6" s="6">
        <v>1</v>
      </c>
      <c r="AA6" s="1">
        <f>Z6*350</f>
        <v>350</v>
      </c>
      <c r="AB6" s="6"/>
      <c r="AC6" s="1">
        <f>AB6*100</f>
        <v>0</v>
      </c>
      <c r="AD6" s="6"/>
      <c r="AE6" s="1">
        <f>IF(AD6&gt;0,70,AD6)</f>
        <v>0</v>
      </c>
      <c r="AF6" s="1">
        <f>IF((AA6+AC6+AE6)&gt;420,420,AA6+AC6+AE6)</f>
        <v>350</v>
      </c>
      <c r="AG6" s="6">
        <v>4</v>
      </c>
      <c r="AH6" s="1">
        <f>AG6*5</f>
        <v>20</v>
      </c>
      <c r="AI6" s="1">
        <f>IF(AH6&gt;20,20,AH6)</f>
        <v>20</v>
      </c>
      <c r="AJ6" s="6">
        <v>1</v>
      </c>
      <c r="AK6" s="1">
        <f>AJ6*50</f>
        <v>50</v>
      </c>
      <c r="AL6" s="6"/>
      <c r="AM6" s="1">
        <f>AL6*30</f>
        <v>0</v>
      </c>
      <c r="AN6" s="6">
        <v>1</v>
      </c>
      <c r="AO6" s="1">
        <f>AN6*10</f>
        <v>10</v>
      </c>
      <c r="AP6" s="1">
        <f>IF((AK6+AM6+AO6)&gt;100,100,AK6+AM6+AO6)</f>
        <v>60</v>
      </c>
      <c r="AQ6" s="6">
        <v>321</v>
      </c>
      <c r="AR6" s="1">
        <f>IF(AQ6&gt;396,396,AQ6)</f>
        <v>321</v>
      </c>
      <c r="AS6" s="1">
        <f>AR6-BN6</f>
        <v>286</v>
      </c>
      <c r="AT6" s="1">
        <f>AS6*1.5</f>
        <v>429</v>
      </c>
      <c r="AU6" s="6">
        <v>18</v>
      </c>
      <c r="AV6" s="1">
        <f>AU6*1</f>
        <v>18</v>
      </c>
      <c r="AW6" s="1">
        <f>IF(AV6&gt;84,84,AV6)</f>
        <v>18</v>
      </c>
      <c r="AX6" s="6"/>
      <c r="AY6" s="6"/>
      <c r="AZ6" s="2">
        <f>IF(BK6+BL6+BD6+BE6+AX6&lt;120,AX6,120-BK6-BL6-BD6-BE6)</f>
        <v>0</v>
      </c>
      <c r="BA6" s="2">
        <f>IF(BK6+BL6+BD6+BE6+AZ6+AY6&lt;120,AY6,120-BK6-BL6-BD6-BE6-AZ6)</f>
        <v>0</v>
      </c>
      <c r="BB6" s="6"/>
      <c r="BC6" s="6"/>
      <c r="BD6" s="2">
        <f>IF(BK6+BL6+BB6&lt;120,BB6,120-BK6-BL6)</f>
        <v>0</v>
      </c>
      <c r="BE6" s="2">
        <f>IF(BK6+BL6+BB6+BC6&lt;120,BC6,120-BK6-BL6-BD6)</f>
        <v>0</v>
      </c>
      <c r="BF6" s="6">
        <v>35</v>
      </c>
      <c r="BG6" s="6"/>
      <c r="BH6" s="1"/>
      <c r="BI6" s="1"/>
      <c r="BJ6" s="1"/>
      <c r="BK6" s="1">
        <f>IF(BF6&lt;120,BF6,120)</f>
        <v>35</v>
      </c>
      <c r="BL6" s="1">
        <f>IF(BF6+BG6&lt;120,BG6,120-BF6-BG6)</f>
        <v>0</v>
      </c>
      <c r="BM6" s="1">
        <f>AX6+AY6+BB6+BC6+BF6+BG6</f>
        <v>35</v>
      </c>
      <c r="BN6" s="1">
        <f>IF(BM6&gt;120,120,BM6)</f>
        <v>35</v>
      </c>
      <c r="BO6" s="1">
        <f>IF(AY6+BC6+BG6&lt;BM6/2,(BK6+BL6)*5.5+(BD6+BE6)*4+(AZ6+BA6)*3,BK6*5.5+BL6*5.5*0.85+BD6*4+BE6*4*0.85+AZ6*3+BA6*3*0.85)</f>
        <v>192.5</v>
      </c>
      <c r="BP6" s="4"/>
    </row>
  </sheetData>
  <sortState ref="A2:BP5">
    <sortCondition descending="1" ref="J2:J5"/>
  </sortState>
  <mergeCells count="16">
    <mergeCell ref="S2:T2"/>
    <mergeCell ref="A1:J1"/>
    <mergeCell ref="K2:L2"/>
    <mergeCell ref="M2:N2"/>
    <mergeCell ref="O2:P2"/>
    <mergeCell ref="Q2:R2"/>
    <mergeCell ref="AL2:AM2"/>
    <mergeCell ref="AN2:AO2"/>
    <mergeCell ref="AR2:AS2"/>
    <mergeCell ref="AU2:AV2"/>
    <mergeCell ref="X2:Y2"/>
    <mergeCell ref="Z2:AA2"/>
    <mergeCell ref="AB2:AC2"/>
    <mergeCell ref="AD2:AE2"/>
    <mergeCell ref="AG2:AH2"/>
    <mergeCell ref="AJ2:A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 ΚΑΤΑΤΑΞΗΣ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Palaiothodorou Alkisti</cp:lastModifiedBy>
  <cp:lastPrinted>2021-09-02T12:42:28Z</cp:lastPrinted>
  <dcterms:created xsi:type="dcterms:W3CDTF">2018-03-21T16:26:00Z</dcterms:created>
  <dcterms:modified xsi:type="dcterms:W3CDTF">2025-02-04T08:12:33Z</dcterms:modified>
</cp:coreProperties>
</file>