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IRINI\Desktop\Οριστικοί Πίνακες 29.3.2023\3. Γενική Διεύθυνση  Δημόσιων Συμβάσεων\"/>
    </mc:Choice>
  </mc:AlternateContent>
  <xr:revisionPtr revIDLastSave="0" documentId="13_ncr:1_{C4C7CE74-64CB-4B1B-92D8-5C4BC707ABE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ΦΘΙΝΟΥΣΑ ΣΕΙΡΑ" sheetId="5" r:id="rId1"/>
    <sheet name="Φύλλο1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M7" i="5" l="1"/>
  <c r="BL7" i="5"/>
  <c r="BK7" i="5"/>
  <c r="AV7" i="5"/>
  <c r="AW7" i="5" s="1"/>
  <c r="AR7" i="5"/>
  <c r="AO7" i="5"/>
  <c r="AM7" i="5"/>
  <c r="AK7" i="5"/>
  <c r="AH7" i="5"/>
  <c r="AI7" i="5" s="1"/>
  <c r="AE7" i="5"/>
  <c r="AC7" i="5"/>
  <c r="AA7" i="5"/>
  <c r="Y7" i="5"/>
  <c r="V7" i="5"/>
  <c r="T7" i="5"/>
  <c r="R7" i="5"/>
  <c r="P7" i="5"/>
  <c r="N7" i="5"/>
  <c r="L7" i="5"/>
  <c r="BD7" i="5" l="1"/>
  <c r="AF7" i="5"/>
  <c r="AP7" i="5"/>
  <c r="W7" i="5"/>
  <c r="BE7" i="5"/>
  <c r="BN7" i="5"/>
  <c r="AS7" i="5" s="1"/>
  <c r="AT7" i="5" s="1"/>
  <c r="D7" i="5" l="1"/>
  <c r="E7" i="5" s="1"/>
  <c r="AZ7" i="5"/>
  <c r="BA7" i="5" s="1"/>
  <c r="F7" i="5" l="1"/>
  <c r="BO7" i="5"/>
  <c r="G7" i="5" s="1"/>
  <c r="H7" i="5" s="1"/>
  <c r="I7" i="5" s="1"/>
  <c r="J7" i="5" l="1"/>
  <c r="BM10" i="5"/>
  <c r="BL10" i="5"/>
  <c r="BK10" i="5"/>
  <c r="AV10" i="5"/>
  <c r="AW10" i="5" s="1"/>
  <c r="AR10" i="5"/>
  <c r="AO10" i="5"/>
  <c r="AM10" i="5"/>
  <c r="AK10" i="5"/>
  <c r="AH10" i="5"/>
  <c r="AI10" i="5" s="1"/>
  <c r="AE10" i="5"/>
  <c r="AC10" i="5"/>
  <c r="AA10" i="5"/>
  <c r="Y10" i="5"/>
  <c r="V10" i="5"/>
  <c r="T10" i="5"/>
  <c r="R10" i="5"/>
  <c r="P10" i="5"/>
  <c r="N10" i="5"/>
  <c r="L10" i="5"/>
  <c r="BE10" i="5" l="1"/>
  <c r="BN10" i="5"/>
  <c r="AS10" i="5" s="1"/>
  <c r="AT10" i="5" s="1"/>
  <c r="AP10" i="5"/>
  <c r="W10" i="5"/>
  <c r="BD10" i="5"/>
  <c r="BM11" i="5"/>
  <c r="BM4" i="5"/>
  <c r="BM6" i="5"/>
  <c r="BM15" i="5"/>
  <c r="BM8" i="5"/>
  <c r="BM14" i="5"/>
  <c r="BM9" i="5"/>
  <c r="BM3" i="5"/>
  <c r="BM12" i="5"/>
  <c r="BM13" i="5"/>
  <c r="BL11" i="5"/>
  <c r="BL4" i="5"/>
  <c r="BL6" i="5"/>
  <c r="BL15" i="5"/>
  <c r="BL8" i="5"/>
  <c r="BL14" i="5"/>
  <c r="BL9" i="5"/>
  <c r="BL3" i="5"/>
  <c r="BL12" i="5"/>
  <c r="BL13" i="5"/>
  <c r="BK11" i="5"/>
  <c r="BK4" i="5"/>
  <c r="BK6" i="5"/>
  <c r="BK15" i="5"/>
  <c r="BK8" i="5"/>
  <c r="BK14" i="5"/>
  <c r="BK9" i="5"/>
  <c r="BK3" i="5"/>
  <c r="BK12" i="5"/>
  <c r="BK13" i="5"/>
  <c r="AV11" i="5"/>
  <c r="AW11" i="5" s="1"/>
  <c r="AV4" i="5"/>
  <c r="AW4" i="5" s="1"/>
  <c r="AV6" i="5"/>
  <c r="AW6" i="5" s="1"/>
  <c r="AV15" i="5"/>
  <c r="AW15" i="5" s="1"/>
  <c r="AV8" i="5"/>
  <c r="AW8" i="5" s="1"/>
  <c r="AV14" i="5"/>
  <c r="AW14" i="5" s="1"/>
  <c r="AV9" i="5"/>
  <c r="AW9" i="5" s="1"/>
  <c r="AV3" i="5"/>
  <c r="AW3" i="5" s="1"/>
  <c r="AV12" i="5"/>
  <c r="AW12" i="5" s="1"/>
  <c r="AV13" i="5"/>
  <c r="AW13" i="5" s="1"/>
  <c r="AR11" i="5"/>
  <c r="AR4" i="5"/>
  <c r="AR6" i="5"/>
  <c r="AR15" i="5"/>
  <c r="AR8" i="5"/>
  <c r="AR14" i="5"/>
  <c r="AR9" i="5"/>
  <c r="AR3" i="5"/>
  <c r="AR12" i="5"/>
  <c r="AR13" i="5"/>
  <c r="AO11" i="5"/>
  <c r="AO4" i="5"/>
  <c r="AO6" i="5"/>
  <c r="AO15" i="5"/>
  <c r="AO8" i="5"/>
  <c r="AO14" i="5"/>
  <c r="AO9" i="5"/>
  <c r="AO3" i="5"/>
  <c r="AO12" i="5"/>
  <c r="AO13" i="5"/>
  <c r="AM11" i="5"/>
  <c r="AM4" i="5"/>
  <c r="AM6" i="5"/>
  <c r="AM15" i="5"/>
  <c r="AM8" i="5"/>
  <c r="AM14" i="5"/>
  <c r="AM9" i="5"/>
  <c r="AM3" i="5"/>
  <c r="AM12" i="5"/>
  <c r="AM13" i="5"/>
  <c r="AK11" i="5"/>
  <c r="AK4" i="5"/>
  <c r="AK6" i="5"/>
  <c r="AK15" i="5"/>
  <c r="AK8" i="5"/>
  <c r="AK14" i="5"/>
  <c r="AK9" i="5"/>
  <c r="AK3" i="5"/>
  <c r="AK12" i="5"/>
  <c r="AK13" i="5"/>
  <c r="AH11" i="5"/>
  <c r="AI11" i="5" s="1"/>
  <c r="AH4" i="5"/>
  <c r="AI4" i="5" s="1"/>
  <c r="AH6" i="5"/>
  <c r="AI6" i="5" s="1"/>
  <c r="AH15" i="5"/>
  <c r="AI15" i="5" s="1"/>
  <c r="AH8" i="5"/>
  <c r="AI8" i="5" s="1"/>
  <c r="AH14" i="5"/>
  <c r="AI14" i="5" s="1"/>
  <c r="AH9" i="5"/>
  <c r="AI9" i="5" s="1"/>
  <c r="AH3" i="5"/>
  <c r="AI3" i="5" s="1"/>
  <c r="AH12" i="5"/>
  <c r="AI12" i="5" s="1"/>
  <c r="AH13" i="5"/>
  <c r="AI13" i="5" s="1"/>
  <c r="AE11" i="5"/>
  <c r="AE4" i="5"/>
  <c r="AE6" i="5"/>
  <c r="AE15" i="5"/>
  <c r="AE8" i="5"/>
  <c r="AE14" i="5"/>
  <c r="AE9" i="5"/>
  <c r="AE3" i="5"/>
  <c r="AE12" i="5"/>
  <c r="AE13" i="5"/>
  <c r="AC11" i="5"/>
  <c r="AC4" i="5"/>
  <c r="AC6" i="5"/>
  <c r="AC15" i="5"/>
  <c r="AC8" i="5"/>
  <c r="AC14" i="5"/>
  <c r="AC9" i="5"/>
  <c r="AC3" i="5"/>
  <c r="AC12" i="5"/>
  <c r="AC13" i="5"/>
  <c r="AA11" i="5"/>
  <c r="AA4" i="5"/>
  <c r="AA6" i="5"/>
  <c r="AA3" i="5"/>
  <c r="AA15" i="5"/>
  <c r="AA8" i="5"/>
  <c r="AF10" i="5" s="1"/>
  <c r="AA14" i="5"/>
  <c r="AA9" i="5"/>
  <c r="AA12" i="5"/>
  <c r="AA13" i="5"/>
  <c r="Y11" i="5"/>
  <c r="Y4" i="5"/>
  <c r="Y6" i="5"/>
  <c r="Y3" i="5"/>
  <c r="Y15" i="5"/>
  <c r="Y8" i="5"/>
  <c r="Y14" i="5"/>
  <c r="Y9" i="5"/>
  <c r="Y12" i="5"/>
  <c r="Y13" i="5"/>
  <c r="V11" i="5"/>
  <c r="V4" i="5"/>
  <c r="V6" i="5"/>
  <c r="V3" i="5"/>
  <c r="V15" i="5"/>
  <c r="V8" i="5"/>
  <c r="V14" i="5"/>
  <c r="V9" i="5"/>
  <c r="V12" i="5"/>
  <c r="V13" i="5"/>
  <c r="T11" i="5"/>
  <c r="T4" i="5"/>
  <c r="T6" i="5"/>
  <c r="T3" i="5"/>
  <c r="T15" i="5"/>
  <c r="T8" i="5"/>
  <c r="T14" i="5"/>
  <c r="T9" i="5"/>
  <c r="T12" i="5"/>
  <c r="T13" i="5"/>
  <c r="R11" i="5"/>
  <c r="R4" i="5"/>
  <c r="R6" i="5"/>
  <c r="R3" i="5"/>
  <c r="R15" i="5"/>
  <c r="R8" i="5"/>
  <c r="R14" i="5"/>
  <c r="R9" i="5"/>
  <c r="R12" i="5"/>
  <c r="R13" i="5"/>
  <c r="P11" i="5"/>
  <c r="P4" i="5"/>
  <c r="P6" i="5"/>
  <c r="P3" i="5"/>
  <c r="P15" i="5"/>
  <c r="P8" i="5"/>
  <c r="P14" i="5"/>
  <c r="P9" i="5"/>
  <c r="P12" i="5"/>
  <c r="P13" i="5"/>
  <c r="N11" i="5"/>
  <c r="N4" i="5"/>
  <c r="N6" i="5"/>
  <c r="N3" i="5"/>
  <c r="N15" i="5"/>
  <c r="N8" i="5"/>
  <c r="N14" i="5"/>
  <c r="N9" i="5"/>
  <c r="N12" i="5"/>
  <c r="N13" i="5"/>
  <c r="L11" i="5"/>
  <c r="L4" i="5"/>
  <c r="L6" i="5"/>
  <c r="L3" i="5"/>
  <c r="L15" i="5"/>
  <c r="L8" i="5"/>
  <c r="L14" i="5"/>
  <c r="L9" i="5"/>
  <c r="L12" i="5"/>
  <c r="L13" i="5"/>
  <c r="BE15" i="5" l="1"/>
  <c r="AZ10" i="5"/>
  <c r="BA10" i="5" s="1"/>
  <c r="BO10" i="5" s="1"/>
  <c r="BD14" i="5"/>
  <c r="AF11" i="5"/>
  <c r="AF3" i="5"/>
  <c r="AF8" i="5"/>
  <c r="AF4" i="5"/>
  <c r="AP9" i="5"/>
  <c r="AP15" i="5"/>
  <c r="AP11" i="5"/>
  <c r="BE14" i="5"/>
  <c r="BE9" i="5"/>
  <c r="BD11" i="5"/>
  <c r="W9" i="5"/>
  <c r="W15" i="5"/>
  <c r="W11" i="5"/>
  <c r="AF13" i="5"/>
  <c r="BE12" i="5"/>
  <c r="BE6" i="5"/>
  <c r="AP14" i="5"/>
  <c r="AF15" i="5"/>
  <c r="AP12" i="5"/>
  <c r="AP6" i="5"/>
  <c r="BD9" i="5"/>
  <c r="BN14" i="5"/>
  <c r="AS14" i="5" s="1"/>
  <c r="AT14" i="5" s="1"/>
  <c r="AP13" i="5"/>
  <c r="AP3" i="5"/>
  <c r="AP8" i="5"/>
  <c r="AP4" i="5"/>
  <c r="BN12" i="5"/>
  <c r="AS12" i="5" s="1"/>
  <c r="AT12" i="5" s="1"/>
  <c r="BN6" i="5"/>
  <c r="AS6" i="5" s="1"/>
  <c r="AT6" i="5" s="1"/>
  <c r="BE8" i="5"/>
  <c r="BN13" i="5"/>
  <c r="AS13" i="5" s="1"/>
  <c r="AT13" i="5" s="1"/>
  <c r="BN3" i="5"/>
  <c r="AS3" i="5" s="1"/>
  <c r="AT3" i="5" s="1"/>
  <c r="BN8" i="5"/>
  <c r="AS8" i="5" s="1"/>
  <c r="AT8" i="5" s="1"/>
  <c r="BN4" i="5"/>
  <c r="AS4" i="5" s="1"/>
  <c r="AT4" i="5" s="1"/>
  <c r="BD15" i="5"/>
  <c r="BE11" i="5"/>
  <c r="BN9" i="5"/>
  <c r="AS9" i="5" s="1"/>
  <c r="AT9" i="5" s="1"/>
  <c r="BN15" i="5"/>
  <c r="AS15" i="5" s="1"/>
  <c r="AT15" i="5" s="1"/>
  <c r="BN11" i="5"/>
  <c r="AS11" i="5" s="1"/>
  <c r="AT11" i="5" s="1"/>
  <c r="BD13" i="5"/>
  <c r="BE13" i="5" s="1"/>
  <c r="BD3" i="5"/>
  <c r="BE3" i="5" s="1"/>
  <c r="BD8" i="5"/>
  <c r="BD4" i="5"/>
  <c r="BE4" i="5" s="1"/>
  <c r="BD12" i="5"/>
  <c r="BD6" i="5"/>
  <c r="AF12" i="5"/>
  <c r="AF6" i="5"/>
  <c r="AF14" i="5"/>
  <c r="W14" i="5"/>
  <c r="W3" i="5"/>
  <c r="W12" i="5"/>
  <c r="W8" i="5"/>
  <c r="W6" i="5"/>
  <c r="W13" i="5"/>
  <c r="W4" i="5"/>
  <c r="N5" i="5"/>
  <c r="P5" i="5"/>
  <c r="R5" i="5"/>
  <c r="T5" i="5"/>
  <c r="V5" i="5"/>
  <c r="Y5" i="5"/>
  <c r="AA5" i="5"/>
  <c r="AF9" i="5" s="1"/>
  <c r="AC5" i="5"/>
  <c r="AE5" i="5"/>
  <c r="AH5" i="5"/>
  <c r="AI5" i="5" s="1"/>
  <c r="AK5" i="5"/>
  <c r="AM5" i="5"/>
  <c r="AO5" i="5"/>
  <c r="AR5" i="5"/>
  <c r="AV5" i="5"/>
  <c r="AW5" i="5" s="1"/>
  <c r="BK5" i="5"/>
  <c r="BL5" i="5"/>
  <c r="BM5" i="5"/>
  <c r="L5" i="5"/>
  <c r="AZ15" i="5" l="1"/>
  <c r="BA15" i="5" s="1"/>
  <c r="D10" i="5"/>
  <c r="E10" i="5" s="1"/>
  <c r="AZ14" i="5"/>
  <c r="BA14" i="5" s="1"/>
  <c r="BN5" i="5"/>
  <c r="AS5" i="5" s="1"/>
  <c r="AT5" i="5" s="1"/>
  <c r="AZ12" i="5"/>
  <c r="BA12" i="5" s="1"/>
  <c r="AZ11" i="5"/>
  <c r="BA11" i="5" s="1"/>
  <c r="AZ6" i="5"/>
  <c r="BA6" i="5" s="1"/>
  <c r="D13" i="5"/>
  <c r="E13" i="5" s="1"/>
  <c r="D11" i="5"/>
  <c r="F11" i="5" s="1"/>
  <c r="AZ3" i="5"/>
  <c r="BA3" i="5" s="1"/>
  <c r="D8" i="5"/>
  <c r="E8" i="5" s="1"/>
  <c r="D9" i="5"/>
  <c r="F9" i="5" s="1"/>
  <c r="D15" i="5"/>
  <c r="E15" i="5" s="1"/>
  <c r="D4" i="5"/>
  <c r="E4" i="5" s="1"/>
  <c r="AZ8" i="5"/>
  <c r="D14" i="5"/>
  <c r="F14" i="5" s="1"/>
  <c r="AZ13" i="5"/>
  <c r="BA13" i="5" s="1"/>
  <c r="D3" i="5"/>
  <c r="F3" i="5" s="1"/>
  <c r="AZ4" i="5"/>
  <c r="BA4" i="5" s="1"/>
  <c r="AZ9" i="5"/>
  <c r="BA9" i="5" s="1"/>
  <c r="D6" i="5"/>
  <c r="F6" i="5" s="1"/>
  <c r="W5" i="5"/>
  <c r="AF5" i="5"/>
  <c r="D12" i="5" s="1"/>
  <c r="F12" i="5" s="1"/>
  <c r="AP5" i="5"/>
  <c r="BD5" i="5"/>
  <c r="BO15" i="5" l="1"/>
  <c r="F10" i="5"/>
  <c r="BO12" i="5"/>
  <c r="G12" i="5" s="1"/>
  <c r="H12" i="5" s="1"/>
  <c r="I12" i="5" s="1"/>
  <c r="J12" i="5" s="1"/>
  <c r="BO3" i="5"/>
  <c r="G3" i="5" s="1"/>
  <c r="H3" i="5" s="1"/>
  <c r="I3" i="5" s="1"/>
  <c r="J3" i="5" s="1"/>
  <c r="BO13" i="5"/>
  <c r="BA8" i="5"/>
  <c r="BO8" i="5" s="1"/>
  <c r="BO9" i="5"/>
  <c r="G9" i="5" s="1"/>
  <c r="H9" i="5" s="1"/>
  <c r="I9" i="5" s="1"/>
  <c r="J9" i="5" s="1"/>
  <c r="BO4" i="5"/>
  <c r="G4" i="5" s="1"/>
  <c r="H4" i="5" s="1"/>
  <c r="I4" i="5" s="1"/>
  <c r="BO14" i="5"/>
  <c r="G14" i="5" s="1"/>
  <c r="H14" i="5" s="1"/>
  <c r="I14" i="5" s="1"/>
  <c r="J14" i="5" s="1"/>
  <c r="BO11" i="5"/>
  <c r="G10" i="5" s="1"/>
  <c r="H10" i="5" s="1"/>
  <c r="I10" i="5" s="1"/>
  <c r="BO6" i="5"/>
  <c r="G6" i="5" s="1"/>
  <c r="H6" i="5" s="1"/>
  <c r="I6" i="5" s="1"/>
  <c r="J6" i="5" s="1"/>
  <c r="E9" i="5"/>
  <c r="F13" i="5"/>
  <c r="F4" i="5"/>
  <c r="E11" i="5"/>
  <c r="F8" i="5"/>
  <c r="F15" i="5"/>
  <c r="E3" i="5"/>
  <c r="E14" i="5"/>
  <c r="E6" i="5"/>
  <c r="E12" i="5"/>
  <c r="D5" i="5"/>
  <c r="E5" i="5" s="1"/>
  <c r="BE5" i="5"/>
  <c r="AZ5" i="5" s="1"/>
  <c r="G15" i="5" l="1"/>
  <c r="H15" i="5" s="1"/>
  <c r="I15" i="5" s="1"/>
  <c r="J15" i="5" s="1"/>
  <c r="G13" i="5"/>
  <c r="H13" i="5" s="1"/>
  <c r="I13" i="5" s="1"/>
  <c r="J13" i="5" s="1"/>
  <c r="J10" i="5"/>
  <c r="G11" i="5"/>
  <c r="H11" i="5" s="1"/>
  <c r="I11" i="5" s="1"/>
  <c r="J11" i="5" s="1"/>
  <c r="J4" i="5"/>
  <c r="G8" i="5"/>
  <c r="H8" i="5" s="1"/>
  <c r="I8" i="5" s="1"/>
  <c r="J8" i="5" s="1"/>
  <c r="F5" i="5"/>
  <c r="BA5" i="5"/>
  <c r="BO5" i="5" l="1"/>
  <c r="G5" i="5" s="1"/>
  <c r="H5" i="5" s="1"/>
  <c r="I5" i="5" s="1"/>
  <c r="J5" i="5" s="1"/>
</calcChain>
</file>

<file path=xl/sharedStrings.xml><?xml version="1.0" encoding="utf-8"?>
<sst xmlns="http://schemas.openxmlformats.org/spreadsheetml/2006/main" count="79" uniqueCount="79">
  <si>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</si>
  <si>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</si>
  <si>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</si>
  <si>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</si>
  <si>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</si>
  <si>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</si>
  <si>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ΓΝΩΣΗ ΞΕΝΗΣ ΓΛΩΣΣΑΣ ΑΡΙΣΤΗ</t>
  </si>
  <si>
    <t>ΓΝΩΣΗ ΞΕΝΗΣ ΓΛΩΣΣΑΣ ΚΑΛΗ</t>
  </si>
  <si>
    <t>ΠΙΣΤΟΠΟΙΗΜΕΝΗ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</si>
  <si>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</si>
  <si>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</si>
  <si>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</si>
  <si>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</si>
  <si>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</si>
  <si>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ΠΡΩΤΟ ΜΗ ΣΥΝΑΦΕΣ ΠΜΣ</t>
  </si>
  <si>
    <t>ΜΗ ΣΥΝΑΦΕΣ ΔΙΔΑΚΤΟΡΙΚΟ ΔΙΠΛΩΜΑ</t>
  </si>
  <si>
    <t>ΛΟΙΠΑ ΔΙΔΑΚΤΟΡΙΚΑ ΔΙΠΛΩΜΑΤΑ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</si>
  <si>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</si>
  <si>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</si>
  <si>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</si>
  <si>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</si>
  <si>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</si>
  <si>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</si>
  <si>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</si>
  <si>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</si>
  <si>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</si>
  <si>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</si>
  <si>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</si>
  <si>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</si>
  <si>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</si>
  <si>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</si>
  <si>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</si>
  <si>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</si>
  <si>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</si>
  <si>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</si>
  <si>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ΚΡΙΣΗ ΣΕ ΓΕΝ. Δ/ΝΣΗ</t>
  </si>
  <si>
    <t>ΜΟΡΙΟΔΟΤΟΥΜ ΜΗΝΕΣ ΜΕ ΑΝΑΠΛ ΣΕ ΓΕΝ. Δ/ΝΣΗ</t>
  </si>
  <si>
    <t>ΜΑΧ ΑΠΟ ΠΜΣ</t>
  </si>
  <si>
    <t>ΑΠΟΦΟΙΤΗΣΗ ΑΠΟ ΕΣΔΔΑ</t>
  </si>
  <si>
    <t>ΜΑΧ ΑΠΟ ΔΙΔΑΚΤΟΡΙΚΑ</t>
  </si>
  <si>
    <t>MAX ΑΠΟ ΕΠΙΜΟΡΦΩΣΗ</t>
  </si>
  <si>
    <t>ΓΝΩΣΗ ΞΕΝΗΣ ΓΛΩΣΣΑΣ ΠΟΛΥ ΚΑΛΗ</t>
  </si>
  <si>
    <t>ΜΑΧ ΑΠΟ ΞΕΝΗ ΓΛΩΣΣΑ</t>
  </si>
  <si>
    <t>33% * B΄</t>
  </si>
  <si>
    <t>33% * A΄</t>
  </si>
  <si>
    <t>ΒΑΘΜΟΛΟΓΙΑ Β΄</t>
  </si>
  <si>
    <t>ΣΥΝΟΛΙΚΗ ΒΑΘΜΟΛΟΓΙΑ 
Α΄ΚΑΙ Β΄</t>
  </si>
  <si>
    <t>ΒΑΘΜΟΛΟΓΙΑ Α΄ (max 1.000)</t>
  </si>
  <si>
    <t>ΒΑΘΜΟΛΟΓΙΑ Β΄ (max 1.000)</t>
  </si>
  <si>
    <t>ΜΟΡΙΟΔΟΤΟΥΜΕΝΟΙ ΜΗΝΕΣ ΜΕ ΚΡΙΣΗ ΣΕ Δ/ΝΣΗ</t>
  </si>
  <si>
    <t>ΜΟΡΙΟΔΟΤΟΥΜΕΝΟΙ ΜΗΝΕΣ ΜΕ ΑΝΑΠΛ ΣΕ Δ/ΝΣΗ</t>
  </si>
  <si>
    <t>ΤΖΑΝΕΤΟΠΟΥΛΟΣ</t>
  </si>
  <si>
    <t>ΚΩΝΣΤΑΝΤΙΝΟΣ</t>
  </si>
  <si>
    <t>ΣΧΟΙΝΑ</t>
  </si>
  <si>
    <t>ΜΑΡΙΑ</t>
  </si>
  <si>
    <t>ΜΙΧΑΗΛ</t>
  </si>
  <si>
    <t>ΙΩΑΝΝΗΣ</t>
  </si>
  <si>
    <t>ΣΕΡΒΟΣ</t>
  </si>
  <si>
    <t>ΑΝΑΣΤΑΣΙΟΣ</t>
  </si>
  <si>
    <t>ΑΘΑΝΑΣΙΟΥ</t>
  </si>
  <si>
    <t>ΣΩΤΗΡΙΟΣ</t>
  </si>
  <si>
    <t>ΖΑΧΑΡΟΠΟΥΛΟΥ</t>
  </si>
  <si>
    <t>ΑΝΑΣΤΑΣΙΑ</t>
  </si>
  <si>
    <t xml:space="preserve">ΣΚΟΥΡΤΗ </t>
  </si>
  <si>
    <t>ΧΑΡΙΚΛΕΙΑ</t>
  </si>
  <si>
    <t>ΑΙΚΑΤΕΡΙΝΗ</t>
  </si>
  <si>
    <t>ΤΣΑΡΙΔΟΥ</t>
  </si>
  <si>
    <t>ΔΕΣΠΟΙΝΑ</t>
  </si>
  <si>
    <t>ΠΙΠΕΡΑΚΗ</t>
  </si>
  <si>
    <t>ΑΝΔΡΟΜΑΧΗ</t>
  </si>
  <si>
    <t>ΑΘΑΝΑΣΙΑ</t>
  </si>
  <si>
    <t>ΧΡΥΣΟΧΟΙΔΗ</t>
  </si>
  <si>
    <t>ΕΛΙΣΑΒΕΤ</t>
  </si>
  <si>
    <t>ΠΑΝΤΑΖΗΣ</t>
  </si>
  <si>
    <t>ΑΘΑΝΑΣΙΟΣ</t>
  </si>
  <si>
    <t>ΜΟΡΙΟΔΟΤΟΥΜΕΝΟΙ ΜΗΝΕΣ ΜΕ ΑΝΑΠΛΗΡΩΣΗ ΣΕ ΤΜΗΜΑ</t>
  </si>
  <si>
    <t>ΓΕΡΟΣΤΑΘΟΥ</t>
  </si>
  <si>
    <t>ΣΚΟΥΡΤΗ</t>
  </si>
  <si>
    <t>Οριστικός πίνακας κατάταξης υποψηφίων 
της Γενικής Διεύθυνσης  Δημόσιων Συμβάσεων
του Υπουργείου Ανάπτυξης και Επενδύσεων  
ΠΡΟΚΗΡΥΞΗ: 84015/01-09-2022(ΑΔΑ: 9ΨΦΓ46ΜΤΛΡ-3Τ7)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</si>
</sst>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2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2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15"/>
  <sheetViews>
    <sheetView tabSelected="1" workbookViewId="0">
      <selection sqref="A1:P1"/>
    </sheetView>
  </sheetViews>
  <sheetFormatPr defaultColWidth="9.109375" defaultRowHeight="14.4" x14ac:dyDescent="0.3"/>
  <cols>
    <col min="1" max="1" width="4.6640625" style="6" customWidth="1"/>
    <col min="2" max="2" width="22.44140625" customWidth="1"/>
    <col min="3" max="3" width="17.88671875" customWidth="1"/>
    <col min="4" max="5" width="14.33203125" customWidth="1"/>
    <col min="7" max="7" width="13.5546875" customWidth="1"/>
    <col min="8" max="8" width="14.109375" customWidth="1"/>
    <col min="9" max="9" width="9.44140625" customWidth="1"/>
    <col min="10" max="10" width="14.6640625" customWidth="1"/>
    <col min="11" max="11" width="11.5546875" customWidth="1"/>
    <col min="12" max="12" width="9.33203125" customWidth="1"/>
    <col min="13" max="13" width="9.88671875" customWidth="1"/>
    <col min="14" max="14" width="10.33203125" customWidth="1"/>
    <col min="15" max="15" width="9.33203125" customWidth="1"/>
    <col min="16" max="16" width="8.44140625" customWidth="1"/>
    <col min="17" max="17" width="9.109375" customWidth="1"/>
    <col min="18" max="18" width="9.6640625" customWidth="1"/>
    <col min="19" max="19" width="10.33203125" customWidth="1"/>
    <col min="20" max="20" width="7.33203125" customWidth="1"/>
    <col min="21" max="22" width="7.6640625" customWidth="1"/>
    <col min="23" max="23" width="12.33203125" customWidth="1"/>
    <col min="24" max="24" width="13.109375" customWidth="1"/>
    <col min="25" max="25" width="8.5546875" customWidth="1"/>
    <col min="26" max="26" width="13.6640625" customWidth="1"/>
    <col min="27" max="27" width="6.88671875" customWidth="1"/>
    <col min="28" max="28" width="9.33203125" customWidth="1"/>
    <col min="29" max="29" width="6.44140625" customWidth="1"/>
    <col min="30" max="30" width="9.6640625" customWidth="1"/>
    <col min="31" max="31" width="7.5546875" customWidth="1"/>
    <col min="32" max="32" width="12.88671875" customWidth="1"/>
    <col min="33" max="33" width="11" customWidth="1"/>
    <col min="34" max="34" width="10.6640625" customWidth="1"/>
    <col min="35" max="35" width="14.33203125" customWidth="1"/>
    <col min="36" max="36" width="11.6640625" customWidth="1"/>
    <col min="37" max="37" width="8.88671875" customWidth="1"/>
    <col min="38" max="38" width="10.44140625" customWidth="1"/>
    <col min="39" max="39" width="9" customWidth="1"/>
    <col min="40" max="40" width="11.109375" customWidth="1"/>
    <col min="41" max="41" width="8.44140625" customWidth="1"/>
    <col min="42" max="42" width="12.33203125" customWidth="1"/>
    <col min="43" max="43" width="13" customWidth="1"/>
    <col min="44" max="44" width="11.44140625" customWidth="1"/>
    <col min="45" max="45" width="20.5546875" customWidth="1"/>
    <col min="46" max="46" width="13.44140625" customWidth="1"/>
    <col min="47" max="47" width="12.88671875" customWidth="1"/>
    <col min="48" max="48" width="8.44140625" customWidth="1"/>
    <col min="49" max="49" width="14.88671875" customWidth="1"/>
    <col min="50" max="50" width="12.33203125" customWidth="1"/>
    <col min="51" max="51" width="15.33203125" customWidth="1"/>
    <col min="52" max="52" width="16.44140625" bestFit="1" customWidth="1"/>
    <col min="53" max="53" width="19.88671875" customWidth="1"/>
    <col min="54" max="54" width="14.88671875" customWidth="1"/>
    <col min="55" max="55" width="13.88671875" bestFit="1" customWidth="1"/>
    <col min="56" max="56" width="19.5546875" customWidth="1"/>
    <col min="57" max="57" width="20.109375" customWidth="1"/>
    <col min="58" max="58" width="15.44140625" bestFit="1" customWidth="1"/>
    <col min="59" max="59" width="16.109375" customWidth="1"/>
    <col min="60" max="60" width="15" customWidth="1"/>
    <col min="61" max="61" width="17.44140625" customWidth="1"/>
    <col min="62" max="62" width="21.33203125" customWidth="1"/>
    <col min="63" max="63" width="16.5546875" customWidth="1"/>
    <col min="64" max="64" width="15.6640625" customWidth="1"/>
    <col min="65" max="65" width="16.44140625" customWidth="1"/>
    <col min="66" max="66" width="11" customWidth="1"/>
    <col min="67" max="67" width="11.88671875" customWidth="1"/>
  </cols>
  <sheetData>
    <row r="1" spans="1:67" ht="107.4" customHeight="1" x14ac:dyDescent="0.3">
      <c r="A1" s="10" t="s">
        <v>78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</row>
    <row r="2" spans="1:67" ht="73.5" customHeight="1" x14ac:dyDescent="0.3">
      <c r="A2" s="7" t="s">
        <v>0</v>
      </c>
      <c r="B2" s="7" t="s">
        <v>10</v>
      </c>
      <c r="C2" s="7" t="s">
        <v>11</v>
      </c>
      <c r="D2" s="8" t="s">
        <v>1</v>
      </c>
      <c r="E2" s="7" t="s">
        <v>47</v>
      </c>
      <c r="F2" s="7" t="s">
        <v>44</v>
      </c>
      <c r="G2" s="7" t="s">
        <v>45</v>
      </c>
      <c r="H2" s="7" t="s">
        <v>48</v>
      </c>
      <c r="I2" s="7" t="s">
        <v>43</v>
      </c>
      <c r="J2" s="7" t="s">
        <v>46</v>
      </c>
      <c r="K2" s="9" t="s">
        <v>2</v>
      </c>
      <c r="L2" s="9"/>
      <c r="M2" s="9" t="s">
        <v>3</v>
      </c>
      <c r="N2" s="9"/>
      <c r="O2" s="9" t="s">
        <v>5</v>
      </c>
      <c r="P2" s="9"/>
      <c r="Q2" s="9" t="s">
        <v>14</v>
      </c>
      <c r="R2" s="9"/>
      <c r="S2" s="9" t="s">
        <v>12</v>
      </c>
      <c r="T2" s="9"/>
      <c r="U2" s="9" t="s">
        <v>13</v>
      </c>
      <c r="V2" s="9"/>
      <c r="W2" s="7" t="s">
        <v>37</v>
      </c>
      <c r="X2" s="9" t="s">
        <v>38</v>
      </c>
      <c r="Y2" s="9"/>
      <c r="Z2" s="9" t="s">
        <v>4</v>
      </c>
      <c r="AA2" s="9"/>
      <c r="AB2" s="9" t="s">
        <v>15</v>
      </c>
      <c r="AC2" s="9"/>
      <c r="AD2" s="9" t="s">
        <v>16</v>
      </c>
      <c r="AE2" s="9"/>
      <c r="AF2" s="7" t="s">
        <v>39</v>
      </c>
      <c r="AG2" s="9" t="s">
        <v>8</v>
      </c>
      <c r="AH2" s="9"/>
      <c r="AI2" s="7" t="s">
        <v>40</v>
      </c>
      <c r="AJ2" s="9" t="s">
        <v>6</v>
      </c>
      <c r="AK2" s="9"/>
      <c r="AL2" s="9" t="s">
        <v>41</v>
      </c>
      <c r="AM2" s="9"/>
      <c r="AN2" s="9" t="s">
        <v>7</v>
      </c>
      <c r="AO2" s="9"/>
      <c r="AP2" s="7" t="s">
        <v>42</v>
      </c>
      <c r="AQ2" s="7" t="s">
        <v>17</v>
      </c>
      <c r="AR2" s="7" t="s">
        <v>29</v>
      </c>
      <c r="AS2" s="7" t="s">
        <v>33</v>
      </c>
      <c r="AT2" s="7" t="s">
        <v>28</v>
      </c>
      <c r="AU2" s="9" t="s">
        <v>18</v>
      </c>
      <c r="AV2" s="9"/>
      <c r="AW2" s="7" t="s">
        <v>9</v>
      </c>
      <c r="AX2" s="7" t="s">
        <v>19</v>
      </c>
      <c r="AY2" s="7" t="s">
        <v>20</v>
      </c>
      <c r="AZ2" s="7" t="s">
        <v>34</v>
      </c>
      <c r="BA2" s="7" t="s">
        <v>75</v>
      </c>
      <c r="BB2" s="7" t="s">
        <v>21</v>
      </c>
      <c r="BC2" s="7" t="s">
        <v>22</v>
      </c>
      <c r="BD2" s="7" t="s">
        <v>49</v>
      </c>
      <c r="BE2" s="7" t="s">
        <v>50</v>
      </c>
      <c r="BF2" s="7" t="s">
        <v>23</v>
      </c>
      <c r="BG2" s="7" t="s">
        <v>24</v>
      </c>
      <c r="BH2" s="7" t="s">
        <v>25</v>
      </c>
      <c r="BI2" s="7" t="s">
        <v>26</v>
      </c>
      <c r="BJ2" s="7" t="s">
        <v>27</v>
      </c>
      <c r="BK2" s="7" t="s">
        <v>35</v>
      </c>
      <c r="BL2" s="7" t="s">
        <v>36</v>
      </c>
      <c r="BM2" s="7" t="s">
        <v>30</v>
      </c>
      <c r="BN2" s="7" t="s">
        <v>31</v>
      </c>
      <c r="BO2" s="7" t="s">
        <v>32</v>
      </c>
    </row>
    <row r="3" spans="1:67" s="6" customFormat="1" ht="15.6" x14ac:dyDescent="0.3">
      <c r="A3" s="2">
        <v>1</v>
      </c>
      <c r="B3" s="3" t="s">
        <v>59</v>
      </c>
      <c r="C3" s="3" t="s">
        <v>60</v>
      </c>
      <c r="D3" s="2">
        <f t="shared" ref="D3:D9" si="0">IF((L3+N3+W3+Y3+AF3+AI3+AP3)&gt;1000,1000,L3+N3+W3+Y3+AF3+AI3+AP3)</f>
        <v>350</v>
      </c>
      <c r="E3" s="2">
        <f t="shared" ref="E3:E9" si="1">IF(D3&gt;1000,1000,D3)</f>
        <v>350</v>
      </c>
      <c r="F3" s="4">
        <f t="shared" ref="F3:F9" si="2">D3*33%</f>
        <v>115.5</v>
      </c>
      <c r="G3" s="4">
        <f t="shared" ref="G3:G9" si="3">AT3+AV3+BO3</f>
        <v>894</v>
      </c>
      <c r="H3" s="4">
        <f t="shared" ref="H3:H9" si="4">IF(G3&gt;1000,1000,G3)</f>
        <v>894</v>
      </c>
      <c r="I3" s="4">
        <f t="shared" ref="I3:I9" si="5">H3*33%</f>
        <v>295.02000000000004</v>
      </c>
      <c r="J3" s="1">
        <f t="shared" ref="J3:J9" si="6">F3+I3</f>
        <v>410.52000000000004</v>
      </c>
      <c r="K3" s="5">
        <v>1</v>
      </c>
      <c r="L3" s="5">
        <f t="shared" ref="L3:L9" si="7">K3*100</f>
        <v>100</v>
      </c>
      <c r="M3" s="5"/>
      <c r="N3" s="5">
        <f t="shared" ref="N3:N9" si="8">M3*30</f>
        <v>0</v>
      </c>
      <c r="O3" s="5">
        <v>1</v>
      </c>
      <c r="P3" s="5">
        <f t="shared" ref="P3:P9" si="9">O3*200</f>
        <v>200</v>
      </c>
      <c r="Q3" s="5"/>
      <c r="R3" s="5">
        <f t="shared" ref="R3:R9" si="10">Q3*70</f>
        <v>0</v>
      </c>
      <c r="S3" s="5"/>
      <c r="T3" s="5">
        <f t="shared" ref="T3:T9" si="11">S3*150</f>
        <v>0</v>
      </c>
      <c r="U3" s="5"/>
      <c r="V3" s="5">
        <f t="shared" ref="V3:V9" si="12">IF(U3&gt;0,50,U3)</f>
        <v>0</v>
      </c>
      <c r="W3" s="5">
        <f t="shared" ref="W3:W9" si="13">IF((P3+R3+T3+V3)&gt;250,250,P3+R3+T3+V3)</f>
        <v>200</v>
      </c>
      <c r="X3" s="5"/>
      <c r="Y3" s="5">
        <f t="shared" ref="Y3:Y9" si="14">X3*275</f>
        <v>0</v>
      </c>
      <c r="Z3" s="5"/>
      <c r="AA3" s="5">
        <f t="shared" ref="AA3:AA9" si="15">Z3*350</f>
        <v>0</v>
      </c>
      <c r="AB3" s="5"/>
      <c r="AC3" s="5">
        <f t="shared" ref="AC3:AC9" si="16">AB3*100</f>
        <v>0</v>
      </c>
      <c r="AD3" s="5"/>
      <c r="AE3" s="5">
        <f t="shared" ref="AE3:AE9" si="17">IF(AD3&gt;0,70,AD3)</f>
        <v>0</v>
      </c>
      <c r="AF3" s="5">
        <f t="shared" ref="AF3:AF9" si="18">IF((AA3+AC3+AE3)&gt;420,420,AA3+AC3+AE3)</f>
        <v>0</v>
      </c>
      <c r="AG3" s="5">
        <v>0</v>
      </c>
      <c r="AH3" s="5">
        <f t="shared" ref="AH3:AH9" si="19">AG3*5</f>
        <v>0</v>
      </c>
      <c r="AI3" s="5">
        <f t="shared" ref="AI3:AI9" si="20">IF(AH3&gt;20,20,AH3)</f>
        <v>0</v>
      </c>
      <c r="AJ3" s="5">
        <v>1</v>
      </c>
      <c r="AK3" s="5">
        <f t="shared" ref="AK3:AK9" si="21">AJ3*50</f>
        <v>50</v>
      </c>
      <c r="AL3" s="5"/>
      <c r="AM3" s="5">
        <f t="shared" ref="AM3:AM9" si="22">AL3*30</f>
        <v>0</v>
      </c>
      <c r="AN3" s="5">
        <v>0</v>
      </c>
      <c r="AO3" s="5">
        <f t="shared" ref="AO3:AO9" si="23">AN3*10</f>
        <v>0</v>
      </c>
      <c r="AP3" s="5">
        <f t="shared" ref="AP3:AP9" si="24">IF((AK3+AM3+AO3)&gt;100,100,AK3+AM3+AO3)</f>
        <v>50</v>
      </c>
      <c r="AQ3" s="5">
        <v>438</v>
      </c>
      <c r="AR3" s="5">
        <f t="shared" ref="AR3:AR9" si="25">IF(AQ3&gt;396,396,AQ3)</f>
        <v>396</v>
      </c>
      <c r="AS3" s="5">
        <f t="shared" ref="AS3:AS9" si="26">AR3-BN3</f>
        <v>276</v>
      </c>
      <c r="AT3" s="5">
        <f t="shared" ref="AT3:AT9" si="27">AS3*1.5</f>
        <v>414</v>
      </c>
      <c r="AU3" s="5"/>
      <c r="AV3" s="5">
        <f t="shared" ref="AV3:AV9" si="28">AU3*1</f>
        <v>0</v>
      </c>
      <c r="AW3" s="5">
        <f t="shared" ref="AW3:AW9" si="29">IF(AV3&gt;84,84,AV3)</f>
        <v>0</v>
      </c>
      <c r="AX3" s="5">
        <v>146</v>
      </c>
      <c r="AY3" s="5">
        <v>11</v>
      </c>
      <c r="AZ3" s="5">
        <f t="shared" ref="AZ3:AZ8" si="30">IF(BK3+BL3+BD3+BE3+AX3&lt;120,AX3,120-BK3-BL3-BD3-BE3)</f>
        <v>0</v>
      </c>
      <c r="BA3" s="5">
        <f t="shared" ref="BA3:BA9" si="31">IF(BK3+BL3+BD3+BE3+AZ3+AY3&lt;120,AY3,120-BK3-BL3-BD3-BE3-AZ3)</f>
        <v>0</v>
      </c>
      <c r="BB3" s="5">
        <v>94</v>
      </c>
      <c r="BC3" s="5">
        <v>26</v>
      </c>
      <c r="BD3" s="5">
        <f t="shared" ref="BD3:BD9" si="32">IF(BK3+BL3+BB3&lt;120,BB3,120-BK3-BL3)</f>
        <v>94</v>
      </c>
      <c r="BE3" s="5">
        <f t="shared" ref="BE3:BE9" si="33">IF(BK3+BL3+BB3+BC3&lt;120,BC3,120-BK3-BL3-BD3)</f>
        <v>26</v>
      </c>
      <c r="BF3" s="5">
        <v>0</v>
      </c>
      <c r="BG3" s="5"/>
      <c r="BH3" s="5"/>
      <c r="BI3" s="5"/>
      <c r="BJ3" s="5"/>
      <c r="BK3" s="5">
        <f t="shared" ref="BK3:BK9" si="34">IF(BF3&lt;120,BF3,120)</f>
        <v>0</v>
      </c>
      <c r="BL3" s="5">
        <f t="shared" ref="BL3:BL9" si="35">IF(BF3+BG3&lt;120,BG3,120-BF3-BG3)</f>
        <v>0</v>
      </c>
      <c r="BM3" s="5">
        <f t="shared" ref="BM3:BM9" si="36">AX3+AY3+BB3+BC3+BF3+BG3</f>
        <v>277</v>
      </c>
      <c r="BN3" s="5">
        <f t="shared" ref="BN3:BN9" si="37">IF(BM3&gt;120,120,BM3)</f>
        <v>120</v>
      </c>
      <c r="BO3" s="5">
        <f t="shared" ref="BO3:BO9" si="38">IF(AY3+BC3+BG3&lt;BM3/2,(BK3+BL3)*5.5+(BD3+BE3)*4+(AZ3+BA3)*3,BK3*5.5+BL3*5.5*0.85+BD3*4+BE3*4*0.85+AZ3*3+BA3*3*0.85)</f>
        <v>480</v>
      </c>
    </row>
    <row r="4" spans="1:67" s="6" customFormat="1" ht="15.6" x14ac:dyDescent="0.3">
      <c r="A4" s="2">
        <v>2</v>
      </c>
      <c r="B4" s="3" t="s">
        <v>55</v>
      </c>
      <c r="C4" s="3" t="s">
        <v>56</v>
      </c>
      <c r="D4" s="2">
        <f t="shared" si="0"/>
        <v>325</v>
      </c>
      <c r="E4" s="2">
        <f t="shared" si="1"/>
        <v>325</v>
      </c>
      <c r="F4" s="4">
        <f t="shared" si="2"/>
        <v>107.25</v>
      </c>
      <c r="G4" s="4">
        <f t="shared" si="3"/>
        <v>918</v>
      </c>
      <c r="H4" s="4">
        <f t="shared" si="4"/>
        <v>918</v>
      </c>
      <c r="I4" s="4">
        <f t="shared" si="5"/>
        <v>302.94</v>
      </c>
      <c r="J4" s="1">
        <f t="shared" si="6"/>
        <v>410.19</v>
      </c>
      <c r="K4" s="5">
        <v>1</v>
      </c>
      <c r="L4" s="5">
        <f t="shared" si="7"/>
        <v>100</v>
      </c>
      <c r="M4" s="5"/>
      <c r="N4" s="5">
        <f t="shared" si="8"/>
        <v>0</v>
      </c>
      <c r="O4" s="5"/>
      <c r="P4" s="5">
        <f t="shared" si="9"/>
        <v>0</v>
      </c>
      <c r="Q4" s="5">
        <v>1</v>
      </c>
      <c r="R4" s="5">
        <f t="shared" si="10"/>
        <v>70</v>
      </c>
      <c r="S4" s="5"/>
      <c r="T4" s="5">
        <f t="shared" si="11"/>
        <v>0</v>
      </c>
      <c r="U4" s="5"/>
      <c r="V4" s="5">
        <f t="shared" si="12"/>
        <v>0</v>
      </c>
      <c r="W4" s="5">
        <f t="shared" si="13"/>
        <v>70</v>
      </c>
      <c r="X4" s="5">
        <v>0</v>
      </c>
      <c r="Y4" s="5">
        <f t="shared" si="14"/>
        <v>0</v>
      </c>
      <c r="Z4" s="5"/>
      <c r="AA4" s="5">
        <f t="shared" si="15"/>
        <v>0</v>
      </c>
      <c r="AB4" s="5">
        <v>1</v>
      </c>
      <c r="AC4" s="5">
        <f t="shared" si="16"/>
        <v>100</v>
      </c>
      <c r="AD4" s="5"/>
      <c r="AE4" s="5">
        <f t="shared" si="17"/>
        <v>0</v>
      </c>
      <c r="AF4" s="5">
        <f t="shared" si="18"/>
        <v>100</v>
      </c>
      <c r="AG4" s="5">
        <v>1</v>
      </c>
      <c r="AH4" s="5">
        <f t="shared" si="19"/>
        <v>5</v>
      </c>
      <c r="AI4" s="5">
        <f t="shared" si="20"/>
        <v>5</v>
      </c>
      <c r="AJ4" s="5">
        <v>1</v>
      </c>
      <c r="AK4" s="5">
        <f t="shared" si="21"/>
        <v>50</v>
      </c>
      <c r="AL4" s="5"/>
      <c r="AM4" s="5">
        <f t="shared" si="22"/>
        <v>0</v>
      </c>
      <c r="AN4" s="5"/>
      <c r="AO4" s="5">
        <f t="shared" si="23"/>
        <v>0</v>
      </c>
      <c r="AP4" s="5">
        <f t="shared" si="24"/>
        <v>50</v>
      </c>
      <c r="AQ4" s="5">
        <v>376</v>
      </c>
      <c r="AR4" s="5">
        <f t="shared" si="25"/>
        <v>376</v>
      </c>
      <c r="AS4" s="5">
        <f t="shared" si="26"/>
        <v>256</v>
      </c>
      <c r="AT4" s="5">
        <f t="shared" si="27"/>
        <v>384</v>
      </c>
      <c r="AU4" s="5"/>
      <c r="AV4" s="5">
        <f t="shared" si="28"/>
        <v>0</v>
      </c>
      <c r="AW4" s="5">
        <f t="shared" si="29"/>
        <v>0</v>
      </c>
      <c r="AX4" s="5">
        <v>17</v>
      </c>
      <c r="AY4" s="5"/>
      <c r="AZ4" s="5">
        <f t="shared" si="30"/>
        <v>0</v>
      </c>
      <c r="BA4" s="5">
        <f t="shared" si="31"/>
        <v>0</v>
      </c>
      <c r="BB4" s="5">
        <v>120</v>
      </c>
      <c r="BC4" s="5"/>
      <c r="BD4" s="5">
        <f t="shared" si="32"/>
        <v>84</v>
      </c>
      <c r="BE4" s="5">
        <f t="shared" si="33"/>
        <v>0</v>
      </c>
      <c r="BF4" s="5"/>
      <c r="BG4" s="5">
        <v>36</v>
      </c>
      <c r="BH4" s="5"/>
      <c r="BI4" s="5"/>
      <c r="BJ4" s="5"/>
      <c r="BK4" s="5">
        <f t="shared" si="34"/>
        <v>0</v>
      </c>
      <c r="BL4" s="5">
        <f t="shared" si="35"/>
        <v>36</v>
      </c>
      <c r="BM4" s="5">
        <f t="shared" si="36"/>
        <v>173</v>
      </c>
      <c r="BN4" s="5">
        <f t="shared" si="37"/>
        <v>120</v>
      </c>
      <c r="BO4" s="5">
        <f t="shared" si="38"/>
        <v>534</v>
      </c>
    </row>
    <row r="5" spans="1:67" s="6" customFormat="1" ht="15.6" x14ac:dyDescent="0.3">
      <c r="A5" s="2">
        <v>3</v>
      </c>
      <c r="B5" s="3" t="s">
        <v>51</v>
      </c>
      <c r="C5" s="3" t="s">
        <v>52</v>
      </c>
      <c r="D5" s="2">
        <f t="shared" si="0"/>
        <v>545</v>
      </c>
      <c r="E5" s="2">
        <f t="shared" si="1"/>
        <v>545</v>
      </c>
      <c r="F5" s="4">
        <f t="shared" si="2"/>
        <v>179.85</v>
      </c>
      <c r="G5" s="4">
        <f t="shared" si="3"/>
        <v>684</v>
      </c>
      <c r="H5" s="4">
        <f t="shared" si="4"/>
        <v>684</v>
      </c>
      <c r="I5" s="4">
        <f t="shared" si="5"/>
        <v>225.72</v>
      </c>
      <c r="J5" s="1">
        <f t="shared" si="6"/>
        <v>405.57</v>
      </c>
      <c r="K5" s="5">
        <v>1</v>
      </c>
      <c r="L5" s="5">
        <f t="shared" si="7"/>
        <v>100</v>
      </c>
      <c r="M5" s="5">
        <v>1</v>
      </c>
      <c r="N5" s="5">
        <f t="shared" si="8"/>
        <v>30</v>
      </c>
      <c r="O5" s="5"/>
      <c r="P5" s="5">
        <f t="shared" si="9"/>
        <v>0</v>
      </c>
      <c r="Q5" s="5">
        <v>1</v>
      </c>
      <c r="R5" s="5">
        <f t="shared" si="10"/>
        <v>70</v>
      </c>
      <c r="S5" s="5"/>
      <c r="T5" s="5">
        <f t="shared" si="11"/>
        <v>0</v>
      </c>
      <c r="U5" s="5"/>
      <c r="V5" s="5">
        <f t="shared" si="12"/>
        <v>0</v>
      </c>
      <c r="W5" s="5">
        <f t="shared" si="13"/>
        <v>70</v>
      </c>
      <c r="X5" s="5">
        <v>1</v>
      </c>
      <c r="Y5" s="5">
        <f t="shared" si="14"/>
        <v>275</v>
      </c>
      <c r="Z5" s="5"/>
      <c r="AA5" s="5">
        <f t="shared" si="15"/>
        <v>0</v>
      </c>
      <c r="AB5" s="5"/>
      <c r="AC5" s="5">
        <f t="shared" si="16"/>
        <v>0</v>
      </c>
      <c r="AD5" s="5"/>
      <c r="AE5" s="5">
        <f t="shared" si="17"/>
        <v>0</v>
      </c>
      <c r="AF5" s="5">
        <f t="shared" si="18"/>
        <v>0</v>
      </c>
      <c r="AG5" s="5">
        <v>4</v>
      </c>
      <c r="AH5" s="5">
        <f t="shared" si="19"/>
        <v>20</v>
      </c>
      <c r="AI5" s="5">
        <f t="shared" si="20"/>
        <v>20</v>
      </c>
      <c r="AJ5" s="5">
        <v>1</v>
      </c>
      <c r="AK5" s="5">
        <f t="shared" si="21"/>
        <v>50</v>
      </c>
      <c r="AL5" s="5"/>
      <c r="AM5" s="5">
        <f t="shared" si="22"/>
        <v>0</v>
      </c>
      <c r="AN5" s="5"/>
      <c r="AO5" s="5">
        <f t="shared" si="23"/>
        <v>0</v>
      </c>
      <c r="AP5" s="5">
        <f t="shared" si="24"/>
        <v>50</v>
      </c>
      <c r="AQ5" s="5">
        <v>251</v>
      </c>
      <c r="AR5" s="5">
        <f t="shared" si="25"/>
        <v>251</v>
      </c>
      <c r="AS5" s="5">
        <f t="shared" si="26"/>
        <v>131</v>
      </c>
      <c r="AT5" s="5">
        <f t="shared" si="27"/>
        <v>196.5</v>
      </c>
      <c r="AU5" s="5"/>
      <c r="AV5" s="5">
        <f t="shared" si="28"/>
        <v>0</v>
      </c>
      <c r="AW5" s="5">
        <f t="shared" si="29"/>
        <v>0</v>
      </c>
      <c r="AX5" s="5">
        <v>81</v>
      </c>
      <c r="AY5" s="5"/>
      <c r="AZ5" s="5">
        <f t="shared" si="30"/>
        <v>69</v>
      </c>
      <c r="BA5" s="5">
        <f t="shared" si="31"/>
        <v>0</v>
      </c>
      <c r="BB5" s="5"/>
      <c r="BC5" s="5"/>
      <c r="BD5" s="5">
        <f t="shared" si="32"/>
        <v>0</v>
      </c>
      <c r="BE5" s="5">
        <f t="shared" si="33"/>
        <v>0</v>
      </c>
      <c r="BF5" s="5">
        <v>51</v>
      </c>
      <c r="BG5" s="5"/>
      <c r="BH5" s="5"/>
      <c r="BI5" s="5"/>
      <c r="BJ5" s="5"/>
      <c r="BK5" s="5">
        <f t="shared" si="34"/>
        <v>51</v>
      </c>
      <c r="BL5" s="5">
        <f t="shared" si="35"/>
        <v>0</v>
      </c>
      <c r="BM5" s="5">
        <f t="shared" si="36"/>
        <v>132</v>
      </c>
      <c r="BN5" s="5">
        <f t="shared" si="37"/>
        <v>120</v>
      </c>
      <c r="BO5" s="5">
        <f t="shared" si="38"/>
        <v>487.5</v>
      </c>
    </row>
    <row r="6" spans="1:67" s="6" customFormat="1" ht="15.6" x14ac:dyDescent="0.3">
      <c r="A6" s="2">
        <v>4</v>
      </c>
      <c r="B6" s="3" t="s">
        <v>57</v>
      </c>
      <c r="C6" s="3" t="s">
        <v>58</v>
      </c>
      <c r="D6" s="2">
        <f t="shared" si="0"/>
        <v>645</v>
      </c>
      <c r="E6" s="2">
        <f t="shared" si="1"/>
        <v>645</v>
      </c>
      <c r="F6" s="4">
        <f t="shared" si="2"/>
        <v>212.85000000000002</v>
      </c>
      <c r="G6" s="4">
        <f t="shared" si="3"/>
        <v>582</v>
      </c>
      <c r="H6" s="4">
        <f t="shared" si="4"/>
        <v>582</v>
      </c>
      <c r="I6" s="4">
        <f t="shared" si="5"/>
        <v>192.06</v>
      </c>
      <c r="J6" s="1">
        <f t="shared" si="6"/>
        <v>404.91</v>
      </c>
      <c r="K6" s="5">
        <v>1</v>
      </c>
      <c r="L6" s="5">
        <f t="shared" si="7"/>
        <v>100</v>
      </c>
      <c r="M6" s="5"/>
      <c r="N6" s="5">
        <f t="shared" si="8"/>
        <v>0</v>
      </c>
      <c r="O6" s="5"/>
      <c r="P6" s="5">
        <f t="shared" si="9"/>
        <v>0</v>
      </c>
      <c r="Q6" s="5">
        <v>1</v>
      </c>
      <c r="R6" s="5">
        <f t="shared" si="10"/>
        <v>70</v>
      </c>
      <c r="S6" s="5">
        <v>1</v>
      </c>
      <c r="T6" s="5">
        <f t="shared" si="11"/>
        <v>150</v>
      </c>
      <c r="U6" s="5"/>
      <c r="V6" s="5">
        <f t="shared" si="12"/>
        <v>0</v>
      </c>
      <c r="W6" s="5">
        <f t="shared" si="13"/>
        <v>220</v>
      </c>
      <c r="X6" s="5">
        <v>1</v>
      </c>
      <c r="Y6" s="5">
        <f t="shared" si="14"/>
        <v>275</v>
      </c>
      <c r="Z6" s="5"/>
      <c r="AA6" s="5">
        <f t="shared" si="15"/>
        <v>0</v>
      </c>
      <c r="AB6" s="5"/>
      <c r="AC6" s="5">
        <f t="shared" si="16"/>
        <v>0</v>
      </c>
      <c r="AD6" s="5"/>
      <c r="AE6" s="5">
        <f t="shared" si="17"/>
        <v>0</v>
      </c>
      <c r="AF6" s="5">
        <f t="shared" si="18"/>
        <v>0</v>
      </c>
      <c r="AG6" s="5">
        <v>0</v>
      </c>
      <c r="AH6" s="5">
        <f t="shared" si="19"/>
        <v>0</v>
      </c>
      <c r="AI6" s="5">
        <f t="shared" si="20"/>
        <v>0</v>
      </c>
      <c r="AJ6" s="5">
        <v>1</v>
      </c>
      <c r="AK6" s="5">
        <f t="shared" si="21"/>
        <v>50</v>
      </c>
      <c r="AL6" s="5"/>
      <c r="AM6" s="5">
        <f t="shared" si="22"/>
        <v>0</v>
      </c>
      <c r="AN6" s="5"/>
      <c r="AO6" s="5">
        <f t="shared" si="23"/>
        <v>0</v>
      </c>
      <c r="AP6" s="5">
        <f t="shared" si="24"/>
        <v>50</v>
      </c>
      <c r="AQ6" s="5">
        <v>251</v>
      </c>
      <c r="AR6" s="5">
        <f t="shared" si="25"/>
        <v>251</v>
      </c>
      <c r="AS6" s="5">
        <f t="shared" si="26"/>
        <v>170</v>
      </c>
      <c r="AT6" s="5">
        <f t="shared" si="27"/>
        <v>255</v>
      </c>
      <c r="AU6" s="5">
        <v>84</v>
      </c>
      <c r="AV6" s="5">
        <f t="shared" si="28"/>
        <v>84</v>
      </c>
      <c r="AW6" s="5">
        <f t="shared" si="29"/>
        <v>84</v>
      </c>
      <c r="AX6" s="5">
        <v>51</v>
      </c>
      <c r="AY6" s="5">
        <v>30</v>
      </c>
      <c r="AZ6" s="5">
        <f t="shared" si="30"/>
        <v>51</v>
      </c>
      <c r="BA6" s="5">
        <f t="shared" si="31"/>
        <v>30</v>
      </c>
      <c r="BB6" s="5"/>
      <c r="BC6" s="5"/>
      <c r="BD6" s="5">
        <f t="shared" si="32"/>
        <v>0</v>
      </c>
      <c r="BE6" s="5">
        <f t="shared" si="33"/>
        <v>0</v>
      </c>
      <c r="BF6" s="5"/>
      <c r="BG6" s="5"/>
      <c r="BH6" s="5"/>
      <c r="BI6" s="5"/>
      <c r="BJ6" s="5"/>
      <c r="BK6" s="5">
        <f t="shared" si="34"/>
        <v>0</v>
      </c>
      <c r="BL6" s="5">
        <f t="shared" si="35"/>
        <v>0</v>
      </c>
      <c r="BM6" s="5">
        <f t="shared" si="36"/>
        <v>81</v>
      </c>
      <c r="BN6" s="5">
        <f t="shared" si="37"/>
        <v>81</v>
      </c>
      <c r="BO6" s="5">
        <f t="shared" si="38"/>
        <v>243</v>
      </c>
    </row>
    <row r="7" spans="1:67" s="6" customFormat="1" ht="15.6" x14ac:dyDescent="0.3">
      <c r="A7" s="2">
        <v>5</v>
      </c>
      <c r="B7" s="3" t="s">
        <v>77</v>
      </c>
      <c r="C7" s="3" t="s">
        <v>64</v>
      </c>
      <c r="D7" s="2">
        <f t="shared" si="0"/>
        <v>545</v>
      </c>
      <c r="E7" s="2">
        <f t="shared" si="1"/>
        <v>545</v>
      </c>
      <c r="F7" s="4">
        <f t="shared" si="2"/>
        <v>179.85</v>
      </c>
      <c r="G7" s="4">
        <f t="shared" si="3"/>
        <v>628.04999999999995</v>
      </c>
      <c r="H7" s="4">
        <f t="shared" si="4"/>
        <v>628.04999999999995</v>
      </c>
      <c r="I7" s="4">
        <f t="shared" si="5"/>
        <v>207.25649999999999</v>
      </c>
      <c r="J7" s="1">
        <f t="shared" si="6"/>
        <v>387.10649999999998</v>
      </c>
      <c r="K7" s="5">
        <v>1</v>
      </c>
      <c r="L7" s="5">
        <f t="shared" si="7"/>
        <v>100</v>
      </c>
      <c r="M7" s="5"/>
      <c r="N7" s="5">
        <f t="shared" si="8"/>
        <v>0</v>
      </c>
      <c r="O7" s="5"/>
      <c r="P7" s="5">
        <f t="shared" si="9"/>
        <v>0</v>
      </c>
      <c r="Q7" s="5">
        <v>1</v>
      </c>
      <c r="R7" s="5">
        <f t="shared" si="10"/>
        <v>70</v>
      </c>
      <c r="S7" s="5"/>
      <c r="T7" s="5">
        <f t="shared" si="11"/>
        <v>0</v>
      </c>
      <c r="U7" s="5"/>
      <c r="V7" s="5">
        <f t="shared" si="12"/>
        <v>0</v>
      </c>
      <c r="W7" s="5">
        <f t="shared" si="13"/>
        <v>70</v>
      </c>
      <c r="X7" s="5">
        <v>1</v>
      </c>
      <c r="Y7" s="5">
        <f t="shared" si="14"/>
        <v>275</v>
      </c>
      <c r="Z7" s="5"/>
      <c r="AA7" s="5">
        <f t="shared" si="15"/>
        <v>0</v>
      </c>
      <c r="AB7" s="5"/>
      <c r="AC7" s="5">
        <f t="shared" si="16"/>
        <v>0</v>
      </c>
      <c r="AD7" s="5"/>
      <c r="AE7" s="5">
        <f t="shared" si="17"/>
        <v>0</v>
      </c>
      <c r="AF7" s="5">
        <f t="shared" si="18"/>
        <v>0</v>
      </c>
      <c r="AG7" s="5"/>
      <c r="AH7" s="5">
        <f t="shared" si="19"/>
        <v>0</v>
      </c>
      <c r="AI7" s="5">
        <f t="shared" si="20"/>
        <v>0</v>
      </c>
      <c r="AJ7" s="5">
        <v>2</v>
      </c>
      <c r="AK7" s="5">
        <f t="shared" si="21"/>
        <v>100</v>
      </c>
      <c r="AL7" s="5"/>
      <c r="AM7" s="5">
        <f t="shared" si="22"/>
        <v>0</v>
      </c>
      <c r="AN7" s="5"/>
      <c r="AO7" s="5">
        <f t="shared" si="23"/>
        <v>0</v>
      </c>
      <c r="AP7" s="5">
        <f t="shared" si="24"/>
        <v>100</v>
      </c>
      <c r="AQ7" s="5">
        <v>352</v>
      </c>
      <c r="AR7" s="5">
        <f t="shared" si="25"/>
        <v>352</v>
      </c>
      <c r="AS7" s="5">
        <f t="shared" si="26"/>
        <v>273</v>
      </c>
      <c r="AT7" s="5">
        <f t="shared" si="27"/>
        <v>409.5</v>
      </c>
      <c r="AU7" s="5"/>
      <c r="AV7" s="5">
        <f t="shared" si="28"/>
        <v>0</v>
      </c>
      <c r="AW7" s="5">
        <f t="shared" si="29"/>
        <v>0</v>
      </c>
      <c r="AX7" s="5">
        <v>38</v>
      </c>
      <c r="AY7" s="5">
        <v>41</v>
      </c>
      <c r="AZ7" s="5">
        <f t="shared" si="30"/>
        <v>38</v>
      </c>
      <c r="BA7" s="5">
        <f t="shared" si="31"/>
        <v>41</v>
      </c>
      <c r="BB7" s="5"/>
      <c r="BC7" s="5"/>
      <c r="BD7" s="5">
        <f t="shared" si="32"/>
        <v>0</v>
      </c>
      <c r="BE7" s="5">
        <f t="shared" si="33"/>
        <v>0</v>
      </c>
      <c r="BF7" s="5"/>
      <c r="BG7" s="5"/>
      <c r="BH7" s="5"/>
      <c r="BI7" s="5"/>
      <c r="BJ7" s="5"/>
      <c r="BK7" s="5">
        <f t="shared" si="34"/>
        <v>0</v>
      </c>
      <c r="BL7" s="5">
        <f t="shared" si="35"/>
        <v>0</v>
      </c>
      <c r="BM7" s="5">
        <f t="shared" si="36"/>
        <v>79</v>
      </c>
      <c r="BN7" s="5">
        <f t="shared" si="37"/>
        <v>79</v>
      </c>
      <c r="BO7" s="5">
        <f t="shared" si="38"/>
        <v>218.55</v>
      </c>
    </row>
    <row r="8" spans="1:67" s="6" customFormat="1" ht="15.6" x14ac:dyDescent="0.3">
      <c r="A8" s="2">
        <v>6</v>
      </c>
      <c r="B8" s="3" t="s">
        <v>63</v>
      </c>
      <c r="C8" s="3" t="s">
        <v>65</v>
      </c>
      <c r="D8" s="2">
        <f t="shared" si="0"/>
        <v>545</v>
      </c>
      <c r="E8" s="2">
        <f t="shared" si="1"/>
        <v>545</v>
      </c>
      <c r="F8" s="4">
        <f t="shared" si="2"/>
        <v>179.85</v>
      </c>
      <c r="G8" s="4">
        <f t="shared" si="3"/>
        <v>596.25</v>
      </c>
      <c r="H8" s="4">
        <f t="shared" si="4"/>
        <v>596.25</v>
      </c>
      <c r="I8" s="4">
        <f t="shared" si="5"/>
        <v>196.76250000000002</v>
      </c>
      <c r="J8" s="1">
        <f t="shared" si="6"/>
        <v>376.61250000000001</v>
      </c>
      <c r="K8" s="5">
        <v>1</v>
      </c>
      <c r="L8" s="5">
        <f t="shared" si="7"/>
        <v>100</v>
      </c>
      <c r="M8" s="5"/>
      <c r="N8" s="5">
        <f t="shared" si="8"/>
        <v>0</v>
      </c>
      <c r="O8" s="5"/>
      <c r="P8" s="5">
        <f t="shared" si="9"/>
        <v>0</v>
      </c>
      <c r="Q8" s="5">
        <v>1</v>
      </c>
      <c r="R8" s="5">
        <f t="shared" si="10"/>
        <v>70</v>
      </c>
      <c r="S8" s="5"/>
      <c r="T8" s="5">
        <f t="shared" si="11"/>
        <v>0</v>
      </c>
      <c r="U8" s="5"/>
      <c r="V8" s="5">
        <f t="shared" si="12"/>
        <v>0</v>
      </c>
      <c r="W8" s="5">
        <f t="shared" si="13"/>
        <v>70</v>
      </c>
      <c r="X8" s="5">
        <v>1</v>
      </c>
      <c r="Y8" s="5">
        <f t="shared" si="14"/>
        <v>275</v>
      </c>
      <c r="Z8" s="5"/>
      <c r="AA8" s="5">
        <f t="shared" si="15"/>
        <v>0</v>
      </c>
      <c r="AB8" s="5"/>
      <c r="AC8" s="5">
        <f t="shared" si="16"/>
        <v>0</v>
      </c>
      <c r="AD8" s="5"/>
      <c r="AE8" s="5">
        <f t="shared" si="17"/>
        <v>0</v>
      </c>
      <c r="AF8" s="5">
        <f t="shared" si="18"/>
        <v>0</v>
      </c>
      <c r="AG8" s="5"/>
      <c r="AH8" s="5">
        <f t="shared" si="19"/>
        <v>0</v>
      </c>
      <c r="AI8" s="5">
        <f t="shared" si="20"/>
        <v>0</v>
      </c>
      <c r="AJ8" s="5">
        <v>2</v>
      </c>
      <c r="AK8" s="5">
        <f t="shared" si="21"/>
        <v>100</v>
      </c>
      <c r="AL8" s="5"/>
      <c r="AM8" s="5">
        <f t="shared" si="22"/>
        <v>0</v>
      </c>
      <c r="AN8" s="5"/>
      <c r="AO8" s="5">
        <f t="shared" si="23"/>
        <v>0</v>
      </c>
      <c r="AP8" s="5">
        <f t="shared" si="24"/>
        <v>100</v>
      </c>
      <c r="AQ8" s="5">
        <v>352</v>
      </c>
      <c r="AR8" s="5">
        <f t="shared" si="25"/>
        <v>352</v>
      </c>
      <c r="AS8" s="5">
        <f t="shared" si="26"/>
        <v>287</v>
      </c>
      <c r="AT8" s="5">
        <f t="shared" si="27"/>
        <v>430.5</v>
      </c>
      <c r="AU8" s="5"/>
      <c r="AV8" s="5">
        <f t="shared" si="28"/>
        <v>0</v>
      </c>
      <c r="AW8" s="5">
        <f t="shared" si="29"/>
        <v>0</v>
      </c>
      <c r="AX8" s="5">
        <v>0</v>
      </c>
      <c r="AY8" s="5">
        <v>65</v>
      </c>
      <c r="AZ8" s="5">
        <f t="shared" si="30"/>
        <v>0</v>
      </c>
      <c r="BA8" s="5">
        <f t="shared" si="31"/>
        <v>65</v>
      </c>
      <c r="BB8" s="5"/>
      <c r="BC8" s="5"/>
      <c r="BD8" s="5">
        <f t="shared" si="32"/>
        <v>0</v>
      </c>
      <c r="BE8" s="5">
        <f t="shared" si="33"/>
        <v>0</v>
      </c>
      <c r="BF8" s="5"/>
      <c r="BG8" s="5"/>
      <c r="BH8" s="5"/>
      <c r="BI8" s="5"/>
      <c r="BJ8" s="5"/>
      <c r="BK8" s="5">
        <f t="shared" si="34"/>
        <v>0</v>
      </c>
      <c r="BL8" s="5">
        <f t="shared" si="35"/>
        <v>0</v>
      </c>
      <c r="BM8" s="5">
        <f t="shared" si="36"/>
        <v>65</v>
      </c>
      <c r="BN8" s="5">
        <f t="shared" si="37"/>
        <v>65</v>
      </c>
      <c r="BO8" s="5">
        <f t="shared" si="38"/>
        <v>165.75</v>
      </c>
    </row>
    <row r="9" spans="1:67" s="6" customFormat="1" ht="15.6" x14ac:dyDescent="0.3">
      <c r="A9" s="2">
        <v>7</v>
      </c>
      <c r="B9" s="3" t="s">
        <v>68</v>
      </c>
      <c r="C9" s="3" t="s">
        <v>69</v>
      </c>
      <c r="D9" s="2">
        <f t="shared" si="0"/>
        <v>325</v>
      </c>
      <c r="E9" s="2">
        <f t="shared" si="1"/>
        <v>325</v>
      </c>
      <c r="F9" s="4">
        <f t="shared" si="2"/>
        <v>107.25</v>
      </c>
      <c r="G9" s="4">
        <f t="shared" si="3"/>
        <v>808</v>
      </c>
      <c r="H9" s="4">
        <f t="shared" si="4"/>
        <v>808</v>
      </c>
      <c r="I9" s="4">
        <f t="shared" si="5"/>
        <v>266.64</v>
      </c>
      <c r="J9" s="1">
        <f t="shared" si="6"/>
        <v>373.89</v>
      </c>
      <c r="K9" s="5">
        <v>1</v>
      </c>
      <c r="L9" s="5">
        <f t="shared" si="7"/>
        <v>100</v>
      </c>
      <c r="M9" s="5"/>
      <c r="N9" s="5">
        <f t="shared" si="8"/>
        <v>0</v>
      </c>
      <c r="O9" s="5"/>
      <c r="P9" s="5">
        <f t="shared" si="9"/>
        <v>0</v>
      </c>
      <c r="Q9" s="5">
        <v>1</v>
      </c>
      <c r="R9" s="5">
        <f t="shared" si="10"/>
        <v>70</v>
      </c>
      <c r="S9" s="5"/>
      <c r="T9" s="5">
        <f t="shared" si="11"/>
        <v>0</v>
      </c>
      <c r="U9" s="5"/>
      <c r="V9" s="5">
        <f t="shared" si="12"/>
        <v>0</v>
      </c>
      <c r="W9" s="5">
        <f t="shared" si="13"/>
        <v>70</v>
      </c>
      <c r="X9" s="5"/>
      <c r="Y9" s="5">
        <f t="shared" si="14"/>
        <v>0</v>
      </c>
      <c r="Z9" s="5"/>
      <c r="AA9" s="5">
        <f t="shared" si="15"/>
        <v>0</v>
      </c>
      <c r="AB9" s="5">
        <v>1</v>
      </c>
      <c r="AC9" s="5">
        <f t="shared" si="16"/>
        <v>100</v>
      </c>
      <c r="AD9" s="5"/>
      <c r="AE9" s="5">
        <f t="shared" si="17"/>
        <v>0</v>
      </c>
      <c r="AF9" s="5">
        <f t="shared" si="18"/>
        <v>100</v>
      </c>
      <c r="AG9" s="5">
        <v>1</v>
      </c>
      <c r="AH9" s="5">
        <f t="shared" si="19"/>
        <v>5</v>
      </c>
      <c r="AI9" s="5">
        <f t="shared" si="20"/>
        <v>5</v>
      </c>
      <c r="AJ9" s="5">
        <v>1</v>
      </c>
      <c r="AK9" s="5">
        <f t="shared" si="21"/>
        <v>50</v>
      </c>
      <c r="AL9" s="5"/>
      <c r="AM9" s="5">
        <f t="shared" si="22"/>
        <v>0</v>
      </c>
      <c r="AN9" s="5"/>
      <c r="AO9" s="5">
        <f t="shared" si="23"/>
        <v>0</v>
      </c>
      <c r="AP9" s="5">
        <f t="shared" si="24"/>
        <v>50</v>
      </c>
      <c r="AQ9" s="5">
        <v>352</v>
      </c>
      <c r="AR9" s="5">
        <f t="shared" si="25"/>
        <v>352</v>
      </c>
      <c r="AS9" s="5">
        <f t="shared" si="26"/>
        <v>232</v>
      </c>
      <c r="AT9" s="5">
        <f t="shared" si="27"/>
        <v>348</v>
      </c>
      <c r="AU9" s="5"/>
      <c r="AV9" s="5">
        <f t="shared" si="28"/>
        <v>0</v>
      </c>
      <c r="AW9" s="5">
        <f t="shared" si="29"/>
        <v>0</v>
      </c>
      <c r="AX9" s="5">
        <v>39</v>
      </c>
      <c r="AY9" s="5"/>
      <c r="AZ9" s="5">
        <f t="shared" ref="AZ9" si="39">IF(BK9+BL9+BD9+BE9+AX9&lt;120,AX9,120-BK9-BL9-BD9-BE9)</f>
        <v>20</v>
      </c>
      <c r="BA9" s="5">
        <f t="shared" si="31"/>
        <v>0</v>
      </c>
      <c r="BB9" s="5">
        <v>100</v>
      </c>
      <c r="BC9" s="5"/>
      <c r="BD9" s="5">
        <f t="shared" si="32"/>
        <v>100</v>
      </c>
      <c r="BE9" s="5">
        <f t="shared" si="33"/>
        <v>0</v>
      </c>
      <c r="BF9" s="5"/>
      <c r="BG9" s="5"/>
      <c r="BH9" s="5"/>
      <c r="BI9" s="5"/>
      <c r="BJ9" s="5"/>
      <c r="BK9" s="5">
        <f t="shared" si="34"/>
        <v>0</v>
      </c>
      <c r="BL9" s="5">
        <f t="shared" si="35"/>
        <v>0</v>
      </c>
      <c r="BM9" s="5">
        <f t="shared" si="36"/>
        <v>139</v>
      </c>
      <c r="BN9" s="5">
        <f t="shared" si="37"/>
        <v>120</v>
      </c>
      <c r="BO9" s="5">
        <f t="shared" si="38"/>
        <v>460</v>
      </c>
    </row>
    <row r="10" spans="1:67" s="6" customFormat="1" ht="15.6" x14ac:dyDescent="0.3">
      <c r="A10" s="2">
        <v>8</v>
      </c>
      <c r="B10" s="3" t="s">
        <v>76</v>
      </c>
      <c r="C10" s="3" t="s">
        <v>70</v>
      </c>
      <c r="D10" s="2">
        <f t="shared" ref="D10:D14" si="40">IF((L10+N10+W10+Y10+AF10+AI10+AP10)&gt;1000,1000,L10+N10+W10+Y10+AF10+AI10+AP10)</f>
        <v>280</v>
      </c>
      <c r="E10" s="2">
        <f t="shared" ref="E10:E14" si="41">IF(D10&gt;1000,1000,D10)</f>
        <v>280</v>
      </c>
      <c r="F10" s="4">
        <f t="shared" ref="F10:F14" si="42">D10*33%</f>
        <v>92.4</v>
      </c>
      <c r="G10" s="4">
        <f t="shared" ref="G10:G14" si="43">AT10+AV10+BO10</f>
        <v>838.5</v>
      </c>
      <c r="H10" s="4">
        <f t="shared" ref="H10:H14" si="44">IF(G10&gt;1000,1000,G10)</f>
        <v>838.5</v>
      </c>
      <c r="I10" s="4">
        <f t="shared" ref="I10:I14" si="45">H10*33%</f>
        <v>276.70500000000004</v>
      </c>
      <c r="J10" s="1">
        <f t="shared" ref="J10:J14" si="46">F10+I10</f>
        <v>369.10500000000002</v>
      </c>
      <c r="K10" s="5">
        <v>1</v>
      </c>
      <c r="L10" s="5">
        <f t="shared" ref="L10:L14" si="47">K10*100</f>
        <v>100</v>
      </c>
      <c r="M10" s="5">
        <v>1</v>
      </c>
      <c r="N10" s="5">
        <f t="shared" ref="N10:N14" si="48">M10*30</f>
        <v>30</v>
      </c>
      <c r="O10" s="5">
        <v>0</v>
      </c>
      <c r="P10" s="5">
        <f t="shared" ref="P10:P14" si="49">O10*200</f>
        <v>0</v>
      </c>
      <c r="Q10" s="5">
        <v>1</v>
      </c>
      <c r="R10" s="5">
        <f t="shared" ref="R10:R14" si="50">Q10*70</f>
        <v>70</v>
      </c>
      <c r="S10" s="5"/>
      <c r="T10" s="5">
        <f t="shared" ref="T10:T14" si="51">S10*150</f>
        <v>0</v>
      </c>
      <c r="U10" s="5"/>
      <c r="V10" s="5">
        <f t="shared" ref="V10:V14" si="52">IF(U10&gt;0,50,U10)</f>
        <v>0</v>
      </c>
      <c r="W10" s="5">
        <f t="shared" ref="W10:W14" si="53">IF((P10+R10+T10+V10)&gt;250,250,P10+R10+T10+V10)</f>
        <v>70</v>
      </c>
      <c r="X10" s="5"/>
      <c r="Y10" s="5">
        <f t="shared" ref="Y10:Y14" si="54">X10*275</f>
        <v>0</v>
      </c>
      <c r="Z10" s="5"/>
      <c r="AA10" s="5">
        <f t="shared" ref="AA10:AA14" si="55">Z10*350</f>
        <v>0</v>
      </c>
      <c r="AB10" s="5"/>
      <c r="AC10" s="5">
        <f t="shared" ref="AC10:AC14" si="56">AB10*100</f>
        <v>0</v>
      </c>
      <c r="AD10" s="5"/>
      <c r="AE10" s="5">
        <f t="shared" ref="AE10:AE14" si="57">IF(AD10&gt;0,70,AD10)</f>
        <v>0</v>
      </c>
      <c r="AF10" s="5">
        <f t="shared" ref="AF10:AF14" si="58">IF((AA10+AC10+AE10)&gt;420,420,AA10+AC10+AE10)</f>
        <v>0</v>
      </c>
      <c r="AG10" s="5">
        <v>4</v>
      </c>
      <c r="AH10" s="5">
        <f t="shared" ref="AH10:AH14" si="59">AG10*5</f>
        <v>20</v>
      </c>
      <c r="AI10" s="5">
        <f t="shared" ref="AI10:AI14" si="60">IF(AH10&gt;20,20,AH10)</f>
        <v>20</v>
      </c>
      <c r="AJ10" s="5">
        <v>1</v>
      </c>
      <c r="AK10" s="5">
        <f t="shared" ref="AK10:AK14" si="61">AJ10*50</f>
        <v>50</v>
      </c>
      <c r="AL10" s="5"/>
      <c r="AM10" s="5">
        <f t="shared" ref="AM10:AM14" si="62">AL10*30</f>
        <v>0</v>
      </c>
      <c r="AN10" s="5">
        <v>1</v>
      </c>
      <c r="AO10" s="5">
        <f t="shared" ref="AO10:AO14" si="63">AN10*10</f>
        <v>10</v>
      </c>
      <c r="AP10" s="5">
        <f t="shared" ref="AP10:AP14" si="64">IF((AK10+AM10+AO10)&gt;100,100,AK10+AM10+AO10)</f>
        <v>60</v>
      </c>
      <c r="AQ10" s="5">
        <v>452</v>
      </c>
      <c r="AR10" s="5">
        <f t="shared" ref="AR10:AR14" si="65">IF(AQ10&gt;396,396,AQ10)</f>
        <v>396</v>
      </c>
      <c r="AS10" s="5">
        <f t="shared" ref="AS10:AS14" si="66">AR10-BN10</f>
        <v>291</v>
      </c>
      <c r="AT10" s="5">
        <f t="shared" ref="AT10:AT14" si="67">AS10*1.5</f>
        <v>436.5</v>
      </c>
      <c r="AU10" s="5"/>
      <c r="AV10" s="5">
        <f t="shared" ref="AV10:AV14" si="68">AU10*1</f>
        <v>0</v>
      </c>
      <c r="AW10" s="5">
        <f t="shared" ref="AW10:AW14" si="69">IF(AV10&gt;84,84,AV10)</f>
        <v>0</v>
      </c>
      <c r="AX10" s="5">
        <v>46</v>
      </c>
      <c r="AY10" s="5">
        <v>11</v>
      </c>
      <c r="AZ10" s="5">
        <f t="shared" ref="AZ10:AZ14" si="70">IF(BK10+BL10+BD10+BE10+AX10&lt;120,AX10,120-BK10-BL10-BD10-BE10)</f>
        <v>46</v>
      </c>
      <c r="BA10" s="5">
        <f t="shared" ref="BA10:BA14" si="71">IF(BK10+BL10+BD10+BE10+AZ10+AY10&lt;120,AY10,120-BK10-BL10-BD10-BE10-AZ10)</f>
        <v>11</v>
      </c>
      <c r="BB10" s="5">
        <v>18</v>
      </c>
      <c r="BC10" s="5">
        <v>4</v>
      </c>
      <c r="BD10" s="5">
        <f t="shared" ref="BD10:BD14" si="72">IF(BK10+BL10+BB10&lt;120,BB10,120-BK10-BL10)</f>
        <v>18</v>
      </c>
      <c r="BE10" s="5">
        <f t="shared" ref="BE10:BE14" si="73">IF(BK10+BL10+BB10+BC10&lt;120,BC10,120-BK10-BL10-BD10)</f>
        <v>4</v>
      </c>
      <c r="BF10" s="5">
        <v>26</v>
      </c>
      <c r="BG10" s="5"/>
      <c r="BH10" s="5"/>
      <c r="BI10" s="5"/>
      <c r="BJ10" s="5"/>
      <c r="BK10" s="5">
        <f t="shared" ref="BK10:BK14" si="74">IF(BF10&lt;120,BF10,120)</f>
        <v>26</v>
      </c>
      <c r="BL10" s="5">
        <f t="shared" ref="BL10:BL14" si="75">IF(BF10+BG10&lt;120,BG10,120-BF10-BG10)</f>
        <v>0</v>
      </c>
      <c r="BM10" s="5">
        <f t="shared" ref="BM10:BM14" si="76">AX10+AY10+BB10+BC10+BF10+BG10</f>
        <v>105</v>
      </c>
      <c r="BN10" s="5">
        <f t="shared" ref="BN10:BN14" si="77">IF(BM10&gt;120,120,BM10)</f>
        <v>105</v>
      </c>
      <c r="BO10" s="5">
        <f t="shared" ref="BO10:BO14" si="78">IF(AY10+BC10+BG10&lt;BM10/2,(BK10+BL10)*5.5+(BD10+BE10)*4+(AZ10+BA10)*3,BK10*5.5+BL10*5.5*0.85+BD10*4+BE10*4*0.85+AZ10*3+BA10*3*0.85)</f>
        <v>402</v>
      </c>
    </row>
    <row r="11" spans="1:67" s="6" customFormat="1" ht="15.6" x14ac:dyDescent="0.3">
      <c r="A11" s="2">
        <v>9</v>
      </c>
      <c r="B11" s="3" t="s">
        <v>53</v>
      </c>
      <c r="C11" s="3" t="s">
        <v>54</v>
      </c>
      <c r="D11" s="2">
        <f t="shared" si="40"/>
        <v>150</v>
      </c>
      <c r="E11" s="2">
        <f t="shared" si="41"/>
        <v>150</v>
      </c>
      <c r="F11" s="4">
        <f t="shared" si="42"/>
        <v>49.5</v>
      </c>
      <c r="G11" s="4">
        <f t="shared" si="43"/>
        <v>914</v>
      </c>
      <c r="H11" s="4">
        <f t="shared" si="44"/>
        <v>914</v>
      </c>
      <c r="I11" s="4">
        <f t="shared" si="45"/>
        <v>301.62</v>
      </c>
      <c r="J11" s="1">
        <f t="shared" si="46"/>
        <v>351.12</v>
      </c>
      <c r="K11" s="5">
        <v>1</v>
      </c>
      <c r="L11" s="5">
        <f t="shared" si="47"/>
        <v>100</v>
      </c>
      <c r="M11" s="5"/>
      <c r="N11" s="5">
        <f t="shared" si="48"/>
        <v>0</v>
      </c>
      <c r="O11" s="5"/>
      <c r="P11" s="5">
        <f t="shared" si="49"/>
        <v>0</v>
      </c>
      <c r="Q11" s="5"/>
      <c r="R11" s="5">
        <f t="shared" si="50"/>
        <v>0</v>
      </c>
      <c r="S11" s="5"/>
      <c r="T11" s="5">
        <f t="shared" si="51"/>
        <v>0</v>
      </c>
      <c r="U11" s="5"/>
      <c r="V11" s="5">
        <f t="shared" si="52"/>
        <v>0</v>
      </c>
      <c r="W11" s="5">
        <f t="shared" si="53"/>
        <v>0</v>
      </c>
      <c r="X11" s="5"/>
      <c r="Y11" s="5">
        <f t="shared" si="54"/>
        <v>0</v>
      </c>
      <c r="Z11" s="5"/>
      <c r="AA11" s="5">
        <f t="shared" si="55"/>
        <v>0</v>
      </c>
      <c r="AB11" s="5"/>
      <c r="AC11" s="5">
        <f t="shared" si="56"/>
        <v>0</v>
      </c>
      <c r="AD11" s="5"/>
      <c r="AE11" s="5">
        <f t="shared" si="57"/>
        <v>0</v>
      </c>
      <c r="AF11" s="5">
        <f t="shared" si="58"/>
        <v>0</v>
      </c>
      <c r="AG11" s="5"/>
      <c r="AH11" s="5">
        <f t="shared" si="59"/>
        <v>0</v>
      </c>
      <c r="AI11" s="5">
        <f t="shared" si="60"/>
        <v>0</v>
      </c>
      <c r="AJ11" s="5">
        <v>1</v>
      </c>
      <c r="AK11" s="5">
        <f t="shared" si="61"/>
        <v>50</v>
      </c>
      <c r="AL11" s="5"/>
      <c r="AM11" s="5">
        <f t="shared" si="62"/>
        <v>0</v>
      </c>
      <c r="AN11" s="5"/>
      <c r="AO11" s="5">
        <f t="shared" si="63"/>
        <v>0</v>
      </c>
      <c r="AP11" s="5">
        <f t="shared" si="64"/>
        <v>50</v>
      </c>
      <c r="AQ11" s="5">
        <v>441</v>
      </c>
      <c r="AR11" s="5">
        <f t="shared" si="65"/>
        <v>396</v>
      </c>
      <c r="AS11" s="5">
        <f t="shared" si="66"/>
        <v>276</v>
      </c>
      <c r="AT11" s="5">
        <f t="shared" si="67"/>
        <v>414</v>
      </c>
      <c r="AU11" s="5"/>
      <c r="AV11" s="5">
        <f t="shared" si="68"/>
        <v>0</v>
      </c>
      <c r="AW11" s="5">
        <f t="shared" si="69"/>
        <v>0</v>
      </c>
      <c r="AX11" s="5">
        <v>57</v>
      </c>
      <c r="AY11" s="5">
        <v>43</v>
      </c>
      <c r="AZ11" s="5">
        <f t="shared" si="70"/>
        <v>46</v>
      </c>
      <c r="BA11" s="5">
        <f t="shared" si="71"/>
        <v>0</v>
      </c>
      <c r="BB11" s="5">
        <v>30</v>
      </c>
      <c r="BC11" s="5"/>
      <c r="BD11" s="5">
        <f t="shared" si="72"/>
        <v>30</v>
      </c>
      <c r="BE11" s="5">
        <f t="shared" si="73"/>
        <v>0</v>
      </c>
      <c r="BF11" s="5">
        <v>44</v>
      </c>
      <c r="BG11" s="5"/>
      <c r="BH11" s="5"/>
      <c r="BI11" s="5"/>
      <c r="BJ11" s="5"/>
      <c r="BK11" s="5">
        <f t="shared" si="74"/>
        <v>44</v>
      </c>
      <c r="BL11" s="5">
        <f t="shared" si="75"/>
        <v>0</v>
      </c>
      <c r="BM11" s="5">
        <f t="shared" si="76"/>
        <v>174</v>
      </c>
      <c r="BN11" s="5">
        <f t="shared" si="77"/>
        <v>120</v>
      </c>
      <c r="BO11" s="5">
        <f t="shared" si="78"/>
        <v>500</v>
      </c>
    </row>
    <row r="12" spans="1:67" s="6" customFormat="1" ht="15.6" x14ac:dyDescent="0.3">
      <c r="A12" s="2">
        <v>10</v>
      </c>
      <c r="B12" s="3" t="s">
        <v>71</v>
      </c>
      <c r="C12" s="3" t="s">
        <v>72</v>
      </c>
      <c r="D12" s="2">
        <f>IF((L12+N12+W12+Y12+AF12+AI12+AP12)&gt;1000,1000,L12+N12+W12+Y12+AF12+AI12+AP12)</f>
        <v>530</v>
      </c>
      <c r="E12" s="2">
        <f>IF(D12&gt;1000,1000,D12)</f>
        <v>530</v>
      </c>
      <c r="F12" s="4">
        <f>D12*33%</f>
        <v>174.9</v>
      </c>
      <c r="G12" s="4">
        <f>AT12+AV12+BO12</f>
        <v>511.5</v>
      </c>
      <c r="H12" s="4">
        <f>IF(G12&gt;1000,1000,G12)</f>
        <v>511.5</v>
      </c>
      <c r="I12" s="4">
        <f>H12*33%</f>
        <v>168.79500000000002</v>
      </c>
      <c r="J12" s="1">
        <f>F12+I12</f>
        <v>343.69500000000005</v>
      </c>
      <c r="K12" s="5">
        <v>1</v>
      </c>
      <c r="L12" s="5">
        <f>K12*100</f>
        <v>100</v>
      </c>
      <c r="M12" s="5"/>
      <c r="N12" s="5">
        <f>M12*30</f>
        <v>0</v>
      </c>
      <c r="O12" s="5"/>
      <c r="P12" s="5">
        <f>O12*200</f>
        <v>0</v>
      </c>
      <c r="Q12" s="5">
        <v>1</v>
      </c>
      <c r="R12" s="5">
        <f>Q12*70</f>
        <v>70</v>
      </c>
      <c r="S12" s="5">
        <v>1</v>
      </c>
      <c r="T12" s="5">
        <f>S12*150</f>
        <v>150</v>
      </c>
      <c r="U12" s="5"/>
      <c r="V12" s="5">
        <f>IF(U12&gt;0,50,U12)</f>
        <v>0</v>
      </c>
      <c r="W12" s="5">
        <f>IF((P12+R12+T12+V12)&gt;250,250,P12+R12+T12+V12)</f>
        <v>220</v>
      </c>
      <c r="X12" s="5"/>
      <c r="Y12" s="5">
        <f>X12*275</f>
        <v>0</v>
      </c>
      <c r="Z12" s="5"/>
      <c r="AA12" s="5">
        <f>Z12*350</f>
        <v>0</v>
      </c>
      <c r="AB12" s="5">
        <v>1</v>
      </c>
      <c r="AC12" s="5">
        <f>AB12*100</f>
        <v>100</v>
      </c>
      <c r="AD12" s="5"/>
      <c r="AE12" s="5">
        <f>IF(AD12&gt;0,70,AD12)</f>
        <v>0</v>
      </c>
      <c r="AF12" s="5">
        <f>IF((AA12+AC12+AE12)&gt;420,420,AA12+AC12+AE12)</f>
        <v>100</v>
      </c>
      <c r="AG12" s="5">
        <v>4</v>
      </c>
      <c r="AH12" s="5">
        <f>AG12*5</f>
        <v>20</v>
      </c>
      <c r="AI12" s="5">
        <f>IF(AH12&gt;20,20,AH12)</f>
        <v>20</v>
      </c>
      <c r="AJ12" s="5">
        <v>1</v>
      </c>
      <c r="AK12" s="5">
        <f>AJ12*50</f>
        <v>50</v>
      </c>
      <c r="AL12" s="5">
        <v>1</v>
      </c>
      <c r="AM12" s="5">
        <f>AL12*30</f>
        <v>30</v>
      </c>
      <c r="AN12" s="5">
        <v>1</v>
      </c>
      <c r="AO12" s="5">
        <f>AN12*10</f>
        <v>10</v>
      </c>
      <c r="AP12" s="5">
        <f>IF((AK12+AM12+AO12)&gt;100,100,AK12+AM12+AO12)</f>
        <v>90</v>
      </c>
      <c r="AQ12" s="5">
        <v>192</v>
      </c>
      <c r="AR12" s="5">
        <f>IF(AQ12&gt;396,396,AQ12)</f>
        <v>192</v>
      </c>
      <c r="AS12" s="5">
        <f>AR12-BN12</f>
        <v>99</v>
      </c>
      <c r="AT12" s="5">
        <f>AS12*1.5</f>
        <v>148.5</v>
      </c>
      <c r="AU12" s="5">
        <v>84</v>
      </c>
      <c r="AV12" s="5">
        <f>AU12*1</f>
        <v>84</v>
      </c>
      <c r="AW12" s="5">
        <f>IF(AV12&gt;84,84,AV12)</f>
        <v>84</v>
      </c>
      <c r="AX12" s="5">
        <v>69</v>
      </c>
      <c r="AY12" s="5">
        <v>24</v>
      </c>
      <c r="AZ12" s="5">
        <f>IF(BK12+BL12+BD12+BE12+AX12&lt;120,AX12,120-BK12-BL12-BD12-BE12)</f>
        <v>69</v>
      </c>
      <c r="BA12" s="5">
        <f>IF(BK12+BL12+BD12+BE12+AZ12+AY12&lt;120,AY12,120-BK12-BL12-BD12-BE12-AZ12)</f>
        <v>24</v>
      </c>
      <c r="BB12" s="5"/>
      <c r="BC12" s="5"/>
      <c r="BD12" s="5">
        <f>IF(BK12+BL12+BB12&lt;120,BB12,120-BK12-BL12)</f>
        <v>0</v>
      </c>
      <c r="BE12" s="5">
        <f>IF(BK12+BL12+BB12+BC12&lt;120,BC12,120-BK12-BL12-BD12)</f>
        <v>0</v>
      </c>
      <c r="BF12" s="5"/>
      <c r="BG12" s="5"/>
      <c r="BH12" s="5"/>
      <c r="BI12" s="5"/>
      <c r="BJ12" s="5"/>
      <c r="BK12" s="5">
        <f>IF(BF12&lt;120,BF12,120)</f>
        <v>0</v>
      </c>
      <c r="BL12" s="5">
        <f>IF(BF12+BG12&lt;120,BG12,120-BF12-BG12)</f>
        <v>0</v>
      </c>
      <c r="BM12" s="5">
        <f>AX12+AY12+BB12+BC12+BF12+BG12</f>
        <v>93</v>
      </c>
      <c r="BN12" s="5">
        <f>IF(BM12&gt;120,120,BM12)</f>
        <v>93</v>
      </c>
      <c r="BO12" s="5">
        <f>IF(AY12+BC12+BG12&lt;BM12/2,(BK12+BL12)*5.5+(BD12+BE12)*4+(AZ12+BA12)*3,BK12*5.5+BL12*5.5*0.85+BD12*4+BE12*4*0.85+AZ12*3+BA12*3*0.85)</f>
        <v>279</v>
      </c>
    </row>
    <row r="13" spans="1:67" s="6" customFormat="1" ht="15.6" x14ac:dyDescent="0.3">
      <c r="A13" s="2">
        <v>11</v>
      </c>
      <c r="B13" s="3" t="s">
        <v>73</v>
      </c>
      <c r="C13" s="3" t="s">
        <v>74</v>
      </c>
      <c r="D13" s="2">
        <f>IF((L13+N13+W13+Y13+AF13+AI13+AP13)&gt;1000,1000,L13+N13+W13+Y13+AF13+AI13+AP13)</f>
        <v>470</v>
      </c>
      <c r="E13" s="2">
        <f>IF(D13&gt;1000,1000,D13)</f>
        <v>470</v>
      </c>
      <c r="F13" s="4">
        <f>D13*33%</f>
        <v>155.1</v>
      </c>
      <c r="G13" s="4">
        <f>AT13+AV13+BO13</f>
        <v>553</v>
      </c>
      <c r="H13" s="4">
        <f>IF(G13&gt;1000,1000,G13)</f>
        <v>553</v>
      </c>
      <c r="I13" s="4">
        <f>H13*33%</f>
        <v>182.49</v>
      </c>
      <c r="J13" s="1">
        <f>F13+I13</f>
        <v>337.59000000000003</v>
      </c>
      <c r="K13" s="5">
        <v>1</v>
      </c>
      <c r="L13" s="5">
        <f>K13*100</f>
        <v>100</v>
      </c>
      <c r="M13" s="5"/>
      <c r="N13" s="5">
        <f>M13*30</f>
        <v>0</v>
      </c>
      <c r="O13" s="5">
        <v>1</v>
      </c>
      <c r="P13" s="5">
        <f>O13*200</f>
        <v>200</v>
      </c>
      <c r="Q13" s="5"/>
      <c r="R13" s="5">
        <f>Q13*70</f>
        <v>0</v>
      </c>
      <c r="S13" s="5">
        <v>0</v>
      </c>
      <c r="T13" s="5">
        <f>S13*150</f>
        <v>0</v>
      </c>
      <c r="U13" s="5">
        <v>1</v>
      </c>
      <c r="V13" s="5">
        <f>IF(U13&gt;0,50,U13)</f>
        <v>50</v>
      </c>
      <c r="W13" s="5">
        <f>IF((P13+R13+T13+V13)&gt;250,250,P13+R13+T13+V13)</f>
        <v>250</v>
      </c>
      <c r="X13" s="5"/>
      <c r="Y13" s="5">
        <f>X13*275</f>
        <v>0</v>
      </c>
      <c r="Z13" s="5"/>
      <c r="AA13" s="5">
        <f>Z13*350</f>
        <v>0</v>
      </c>
      <c r="AB13" s="5"/>
      <c r="AC13" s="5">
        <f>AB13*100</f>
        <v>0</v>
      </c>
      <c r="AD13" s="5"/>
      <c r="AE13" s="5">
        <f>IF(AD13&gt;0,70,AD13)</f>
        <v>0</v>
      </c>
      <c r="AF13" s="5">
        <f>IF((AA13+AC13+AE13)&gt;420,420,AA13+AC13+AE13)</f>
        <v>0</v>
      </c>
      <c r="AG13" s="5">
        <v>4</v>
      </c>
      <c r="AH13" s="5">
        <f>AG13*5</f>
        <v>20</v>
      </c>
      <c r="AI13" s="5">
        <f>IF(AH13&gt;20,20,AH13)</f>
        <v>20</v>
      </c>
      <c r="AJ13" s="5">
        <v>2</v>
      </c>
      <c r="AK13" s="5">
        <f>AJ13*50</f>
        <v>100</v>
      </c>
      <c r="AL13" s="5"/>
      <c r="AM13" s="5">
        <f>AL13*30</f>
        <v>0</v>
      </c>
      <c r="AN13" s="5"/>
      <c r="AO13" s="5">
        <f>AN13*10</f>
        <v>0</v>
      </c>
      <c r="AP13" s="5">
        <f>IF((AK13+AM13+AO13)&gt;100,100,AK13+AM13+AO13)</f>
        <v>100</v>
      </c>
      <c r="AQ13" s="5">
        <v>205</v>
      </c>
      <c r="AR13" s="5">
        <f>IF(AQ13&gt;396,396,AQ13)</f>
        <v>205</v>
      </c>
      <c r="AS13" s="5">
        <f>AR13-BN13</f>
        <v>122</v>
      </c>
      <c r="AT13" s="5">
        <f>AS13*1.5</f>
        <v>183</v>
      </c>
      <c r="AU13" s="5">
        <v>60</v>
      </c>
      <c r="AV13" s="5">
        <f>AU13*1</f>
        <v>60</v>
      </c>
      <c r="AW13" s="5">
        <f>IF(AV13&gt;84,84,AV13)</f>
        <v>60</v>
      </c>
      <c r="AX13" s="5">
        <v>22</v>
      </c>
      <c r="AY13" s="5"/>
      <c r="AZ13" s="5">
        <f>IF(BK13+BL13+BD13+BE13+AX13&lt;120,AX13,120-BK13-BL13-BD13-BE13)</f>
        <v>22</v>
      </c>
      <c r="BA13" s="5">
        <f>IF(BK13+BL13+BD13+BE13+AZ13+AY13&lt;120,AY13,120-BK13-BL13-BD13-BE13-AZ13)</f>
        <v>0</v>
      </c>
      <c r="BB13" s="5">
        <v>61</v>
      </c>
      <c r="BC13" s="5"/>
      <c r="BD13" s="5">
        <f>IF(BK13+BL13+BB13&lt;120,BB13,120-BK13-BL13)</f>
        <v>61</v>
      </c>
      <c r="BE13" s="5">
        <f>IF(BK13+BL13+BB13+BC13&lt;120,BC13,120-BK13-BL13-BD13)</f>
        <v>0</v>
      </c>
      <c r="BF13" s="5"/>
      <c r="BG13" s="5">
        <v>0</v>
      </c>
      <c r="BH13" s="5"/>
      <c r="BI13" s="5"/>
      <c r="BJ13" s="5"/>
      <c r="BK13" s="5">
        <f>IF(BF13&lt;120,BF13,120)</f>
        <v>0</v>
      </c>
      <c r="BL13" s="5">
        <f>IF(BF13+BG13&lt;120,BG13,120-BF13-BG13)</f>
        <v>0</v>
      </c>
      <c r="BM13" s="5">
        <f>AX13+AY13+BB13+BC13+BF13+BG13</f>
        <v>83</v>
      </c>
      <c r="BN13" s="5">
        <f>IF(BM13&gt;120,120,BM13)</f>
        <v>83</v>
      </c>
      <c r="BO13" s="5">
        <f>IF(AY13+BC13+BG13&lt;BM13/2,(BK13+BL13)*5.5+(BD13+BE13)*4+(AZ13+BA13)*3,BK13*5.5+BL13*5.5*0.85+BD13*4+BE13*4*0.85+AZ13*3+BA13*3*0.85)</f>
        <v>310</v>
      </c>
    </row>
    <row r="14" spans="1:67" s="6" customFormat="1" ht="15.6" x14ac:dyDescent="0.3">
      <c r="A14" s="2">
        <v>12</v>
      </c>
      <c r="B14" s="3" t="s">
        <v>66</v>
      </c>
      <c r="C14" s="3" t="s">
        <v>67</v>
      </c>
      <c r="D14" s="2">
        <f t="shared" si="40"/>
        <v>280</v>
      </c>
      <c r="E14" s="2">
        <f t="shared" si="41"/>
        <v>280</v>
      </c>
      <c r="F14" s="4">
        <f t="shared" si="42"/>
        <v>92.4</v>
      </c>
      <c r="G14" s="4">
        <f t="shared" si="43"/>
        <v>640.5</v>
      </c>
      <c r="H14" s="4">
        <f t="shared" si="44"/>
        <v>640.5</v>
      </c>
      <c r="I14" s="4">
        <f t="shared" si="45"/>
        <v>211.36500000000001</v>
      </c>
      <c r="J14" s="1">
        <f t="shared" si="46"/>
        <v>303.76499999999999</v>
      </c>
      <c r="K14" s="5">
        <v>1</v>
      </c>
      <c r="L14" s="5">
        <f t="shared" si="47"/>
        <v>100</v>
      </c>
      <c r="M14" s="5">
        <v>1</v>
      </c>
      <c r="N14" s="5">
        <f t="shared" si="48"/>
        <v>30</v>
      </c>
      <c r="O14" s="5"/>
      <c r="P14" s="5">
        <f t="shared" si="49"/>
        <v>0</v>
      </c>
      <c r="Q14" s="5">
        <v>1</v>
      </c>
      <c r="R14" s="5">
        <f t="shared" si="50"/>
        <v>70</v>
      </c>
      <c r="S14" s="5"/>
      <c r="T14" s="5">
        <f t="shared" si="51"/>
        <v>0</v>
      </c>
      <c r="U14" s="5"/>
      <c r="V14" s="5">
        <f t="shared" si="52"/>
        <v>0</v>
      </c>
      <c r="W14" s="5">
        <f t="shared" si="53"/>
        <v>70</v>
      </c>
      <c r="X14" s="5"/>
      <c r="Y14" s="5">
        <f t="shared" si="54"/>
        <v>0</v>
      </c>
      <c r="Z14" s="5"/>
      <c r="AA14" s="5">
        <f t="shared" si="55"/>
        <v>0</v>
      </c>
      <c r="AB14" s="5"/>
      <c r="AC14" s="5">
        <f t="shared" si="56"/>
        <v>0</v>
      </c>
      <c r="AD14" s="5"/>
      <c r="AE14" s="5">
        <f t="shared" si="57"/>
        <v>0</v>
      </c>
      <c r="AF14" s="5">
        <f t="shared" si="58"/>
        <v>0</v>
      </c>
      <c r="AG14" s="5">
        <v>4</v>
      </c>
      <c r="AH14" s="5">
        <f t="shared" si="59"/>
        <v>20</v>
      </c>
      <c r="AI14" s="5">
        <f t="shared" si="60"/>
        <v>20</v>
      </c>
      <c r="AJ14" s="5">
        <v>1</v>
      </c>
      <c r="AK14" s="5">
        <f t="shared" si="61"/>
        <v>50</v>
      </c>
      <c r="AL14" s="5"/>
      <c r="AM14" s="5">
        <f t="shared" si="62"/>
        <v>0</v>
      </c>
      <c r="AN14" s="5">
        <v>1</v>
      </c>
      <c r="AO14" s="5">
        <f t="shared" si="63"/>
        <v>10</v>
      </c>
      <c r="AP14" s="5">
        <f t="shared" si="64"/>
        <v>60</v>
      </c>
      <c r="AQ14" s="5">
        <v>263</v>
      </c>
      <c r="AR14" s="5">
        <f t="shared" si="65"/>
        <v>263</v>
      </c>
      <c r="AS14" s="5">
        <f t="shared" si="66"/>
        <v>143</v>
      </c>
      <c r="AT14" s="5">
        <f t="shared" si="67"/>
        <v>214.5</v>
      </c>
      <c r="AU14" s="5"/>
      <c r="AV14" s="5">
        <f t="shared" si="68"/>
        <v>0</v>
      </c>
      <c r="AW14" s="5">
        <f t="shared" si="69"/>
        <v>0</v>
      </c>
      <c r="AX14" s="5">
        <v>54</v>
      </c>
      <c r="AY14" s="5"/>
      <c r="AZ14" s="5">
        <f t="shared" si="70"/>
        <v>54</v>
      </c>
      <c r="BA14" s="5">
        <f t="shared" si="71"/>
        <v>0</v>
      </c>
      <c r="BB14" s="5">
        <v>66</v>
      </c>
      <c r="BC14" s="5"/>
      <c r="BD14" s="5">
        <f t="shared" si="72"/>
        <v>66</v>
      </c>
      <c r="BE14" s="5">
        <f t="shared" si="73"/>
        <v>0</v>
      </c>
      <c r="BF14" s="5"/>
      <c r="BG14" s="5"/>
      <c r="BH14" s="5"/>
      <c r="BI14" s="5"/>
      <c r="BJ14" s="5"/>
      <c r="BK14" s="5">
        <f t="shared" si="74"/>
        <v>0</v>
      </c>
      <c r="BL14" s="5">
        <f t="shared" si="75"/>
        <v>0</v>
      </c>
      <c r="BM14" s="5">
        <f t="shared" si="76"/>
        <v>120</v>
      </c>
      <c r="BN14" s="5">
        <f t="shared" si="77"/>
        <v>120</v>
      </c>
      <c r="BO14" s="5">
        <f t="shared" si="78"/>
        <v>426</v>
      </c>
    </row>
    <row r="15" spans="1:67" s="6" customFormat="1" ht="15.6" x14ac:dyDescent="0.3">
      <c r="A15" s="2">
        <v>13</v>
      </c>
      <c r="B15" s="3" t="s">
        <v>61</v>
      </c>
      <c r="C15" s="3" t="s">
        <v>62</v>
      </c>
      <c r="D15" s="2">
        <f>IF((L15+N15+W15+Y15+AF15+AI15+AP15)&gt;1000,1000,L15+N15+W15+Y15+AF15+AI15+AP15)</f>
        <v>280</v>
      </c>
      <c r="E15" s="2">
        <f>IF(D15&gt;1000,1000,D15)</f>
        <v>280</v>
      </c>
      <c r="F15" s="4">
        <f>D15*33%</f>
        <v>92.4</v>
      </c>
      <c r="G15" s="4">
        <f>AT15+AV15+BO15</f>
        <v>503</v>
      </c>
      <c r="H15" s="4">
        <f>IF(G15&gt;1000,1000,G15)</f>
        <v>503</v>
      </c>
      <c r="I15" s="4">
        <f>H15*33%</f>
        <v>165.99</v>
      </c>
      <c r="J15" s="1">
        <f>F15+I15</f>
        <v>258.39</v>
      </c>
      <c r="K15" s="5">
        <v>1</v>
      </c>
      <c r="L15" s="5">
        <f>K15*100</f>
        <v>100</v>
      </c>
      <c r="M15" s="5"/>
      <c r="N15" s="5">
        <f>M15*30</f>
        <v>0</v>
      </c>
      <c r="O15" s="5"/>
      <c r="P15" s="5">
        <f>O15*200</f>
        <v>0</v>
      </c>
      <c r="Q15" s="5"/>
      <c r="R15" s="5">
        <f>Q15*70</f>
        <v>0</v>
      </c>
      <c r="S15" s="5"/>
      <c r="T15" s="5">
        <f>S15*150</f>
        <v>0</v>
      </c>
      <c r="U15" s="5"/>
      <c r="V15" s="5">
        <f>IF(U15&gt;0,50,U15)</f>
        <v>0</v>
      </c>
      <c r="W15" s="5">
        <f>IF((P15+R15+T15+V15)&gt;250,250,P15+R15+T15+V15)</f>
        <v>0</v>
      </c>
      <c r="X15" s="5">
        <v>0</v>
      </c>
      <c r="Y15" s="5">
        <f>X15*275</f>
        <v>0</v>
      </c>
      <c r="Z15" s="5"/>
      <c r="AA15" s="5">
        <f>Z15*350</f>
        <v>0</v>
      </c>
      <c r="AB15" s="5">
        <v>1</v>
      </c>
      <c r="AC15" s="5">
        <f>AB15*100</f>
        <v>100</v>
      </c>
      <c r="AD15" s="5"/>
      <c r="AE15" s="5">
        <f>IF(AD15&gt;0,70,AD15)</f>
        <v>0</v>
      </c>
      <c r="AF15" s="5">
        <f>IF((AA15+AC15+AE15)&gt;420,420,AA15+AC15+AE15)</f>
        <v>100</v>
      </c>
      <c r="AG15" s="5">
        <v>4</v>
      </c>
      <c r="AH15" s="5">
        <f>AG15*5</f>
        <v>20</v>
      </c>
      <c r="AI15" s="5">
        <f>IF(AH15&gt;20,20,AH15)</f>
        <v>20</v>
      </c>
      <c r="AJ15" s="5">
        <v>1</v>
      </c>
      <c r="AK15" s="5">
        <f>AJ15*50</f>
        <v>50</v>
      </c>
      <c r="AL15" s="5"/>
      <c r="AM15" s="5">
        <f>AL15*30</f>
        <v>0</v>
      </c>
      <c r="AN15" s="5">
        <v>1</v>
      </c>
      <c r="AO15" s="5">
        <f>AN15*10</f>
        <v>10</v>
      </c>
      <c r="AP15" s="5">
        <f>IF((AK15+AM15+AO15)&gt;100,100,AK15+AM15+AO15)</f>
        <v>60</v>
      </c>
      <c r="AQ15" s="5">
        <v>201</v>
      </c>
      <c r="AR15" s="5">
        <f>IF(AQ15&gt;396,396,AQ15)</f>
        <v>201</v>
      </c>
      <c r="AS15" s="5">
        <f>AR15-BN15</f>
        <v>96</v>
      </c>
      <c r="AT15" s="5">
        <f>AS15*1.5</f>
        <v>144</v>
      </c>
      <c r="AU15" s="5">
        <v>44</v>
      </c>
      <c r="AV15" s="5">
        <f>AU15*1</f>
        <v>44</v>
      </c>
      <c r="AW15" s="5">
        <f>IF(AV15&gt;84,84,AV15)</f>
        <v>44</v>
      </c>
      <c r="AX15" s="5">
        <v>95</v>
      </c>
      <c r="AY15" s="5">
        <v>10</v>
      </c>
      <c r="AZ15" s="5">
        <f>IF(BK15+BL15+BD15+BE15+AX15&lt;120,AX15,120-BK15-BL15-BD15-BE15)</f>
        <v>95</v>
      </c>
      <c r="BA15" s="5">
        <f>IF(BK15+BL15+BD15+BE15+AZ15+AY15&lt;120,AY15,120-BK15-BL15-BD15-BE15-AZ15)</f>
        <v>10</v>
      </c>
      <c r="BB15" s="5"/>
      <c r="BC15" s="5"/>
      <c r="BD15" s="5">
        <f>IF(BK15+BL15+BB15&lt;120,BB15,120-BK15-BL15)</f>
        <v>0</v>
      </c>
      <c r="BE15" s="5">
        <f>IF(BK15+BL15+BB15+BC15&lt;120,BC15,120-BK15-BL15-BD15)</f>
        <v>0</v>
      </c>
      <c r="BF15" s="5"/>
      <c r="BG15" s="5"/>
      <c r="BH15" s="5"/>
      <c r="BI15" s="5"/>
      <c r="BJ15" s="5"/>
      <c r="BK15" s="5">
        <f>IF(BF15&lt;120,BF15,120)</f>
        <v>0</v>
      </c>
      <c r="BL15" s="5">
        <f>IF(BF15+BG15&lt;120,BG15,120-BF15-BG15)</f>
        <v>0</v>
      </c>
      <c r="BM15" s="5">
        <f>AX15+AY15+BB15+BC15+BF15+BG15</f>
        <v>105</v>
      </c>
      <c r="BN15" s="5">
        <f>IF(BM15&gt;120,120,BM15)</f>
        <v>105</v>
      </c>
      <c r="BO15" s="5">
        <f>IF(AY15+BC15+BG15&lt;BM15/2,(BK15+BL15)*5.5+(BD15+BE15)*4+(AZ15+BA15)*3,BK15*5.5+BL15*5.5*0.85+BD15*4+BE15*4*0.85+AZ15*3+BA15*3*0.85)</f>
        <v>315</v>
      </c>
    </row>
  </sheetData>
  <sortState xmlns:xlrd2="http://schemas.microsoft.com/office/spreadsheetml/2017/richdata2" ref="A1:AA14">
    <sortCondition descending="1" ref="J1:J14"/>
  </sortState>
  <mergeCells count="16">
    <mergeCell ref="A1:P1"/>
    <mergeCell ref="K2:L2"/>
    <mergeCell ref="M2:N2"/>
    <mergeCell ref="O2:P2"/>
    <mergeCell ref="Q2:R2"/>
    <mergeCell ref="S2:T2"/>
    <mergeCell ref="U2:V2"/>
    <mergeCell ref="X2:Y2"/>
    <mergeCell ref="Z2:AA2"/>
    <mergeCell ref="AB2:AC2"/>
    <mergeCell ref="AU2:AV2"/>
    <mergeCell ref="AD2:AE2"/>
    <mergeCell ref="AG2:AH2"/>
    <mergeCell ref="AJ2:AK2"/>
    <mergeCell ref="AL2:AM2"/>
    <mergeCell ref="AN2:AO2"/>
  </mergeCells>
  <pageMargins left="0.51181102362204722" right="0.51181102362204722" top="0.74803149606299213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ΦΘΙΝΟΥΣΑ ΣΕΙΡΑ</vt:lpstr>
      <vt:lpstr>Φύλλο1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EIRINI</cp:lastModifiedBy>
  <cp:lastPrinted>2022-10-18T10:29:46Z</cp:lastPrinted>
  <dcterms:created xsi:type="dcterms:W3CDTF">2018-03-21T16:26:00Z</dcterms:created>
  <dcterms:modified xsi:type="dcterms:W3CDTF">2023-03-29T16:47:11Z</dcterms:modified>
</cp:coreProperties>
</file>