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4766" i="1" l="1"/>
  <c r="G4764" i="1"/>
  <c r="G4762" i="1"/>
  <c r="G4760" i="1"/>
  <c r="G4758" i="1"/>
  <c r="G4756" i="1"/>
  <c r="G4754" i="1"/>
  <c r="G4752" i="1"/>
  <c r="G4750" i="1"/>
  <c r="G4748" i="1"/>
  <c r="G4746" i="1"/>
  <c r="G4744" i="1"/>
  <c r="G4742" i="1"/>
  <c r="G4740" i="1"/>
  <c r="G4738" i="1"/>
  <c r="G4736" i="1"/>
  <c r="G4734" i="1"/>
  <c r="G4732" i="1"/>
  <c r="G4730" i="1"/>
  <c r="G4728" i="1"/>
  <c r="G4726" i="1"/>
  <c r="G4724" i="1"/>
  <c r="G4722" i="1"/>
  <c r="G4720" i="1"/>
  <c r="G4718" i="1"/>
  <c r="G4716" i="1"/>
  <c r="G4714" i="1"/>
  <c r="G4712" i="1"/>
  <c r="G4710" i="1"/>
  <c r="G4708" i="1"/>
  <c r="G4706" i="1"/>
  <c r="G4704" i="1"/>
  <c r="G4702" i="1"/>
  <c r="G4700" i="1"/>
  <c r="G4698" i="1"/>
  <c r="G4696" i="1"/>
  <c r="G4694" i="1"/>
  <c r="G4692" i="1"/>
  <c r="G4690" i="1"/>
  <c r="G4688" i="1"/>
  <c r="G4686" i="1"/>
  <c r="G4684" i="1"/>
  <c r="G4682" i="1"/>
  <c r="G4680" i="1"/>
  <c r="G4678" i="1"/>
  <c r="G4676" i="1"/>
  <c r="G4674" i="1"/>
  <c r="G4672" i="1"/>
  <c r="G4670" i="1"/>
  <c r="G4668" i="1"/>
  <c r="G4666" i="1"/>
  <c r="G4664" i="1"/>
  <c r="G4662" i="1"/>
  <c r="G4660" i="1"/>
  <c r="G4658" i="1"/>
  <c r="G4656" i="1"/>
  <c r="G4654" i="1"/>
  <c r="G4652" i="1"/>
  <c r="G4650" i="1"/>
  <c r="G4648" i="1"/>
  <c r="G4646" i="1"/>
  <c r="G4644" i="1"/>
  <c r="G4642" i="1"/>
  <c r="G4640" i="1"/>
  <c r="G4638" i="1"/>
  <c r="G4636" i="1"/>
  <c r="G4634" i="1"/>
  <c r="G4632" i="1"/>
  <c r="G4630" i="1"/>
  <c r="G4628" i="1"/>
  <c r="G4626" i="1"/>
  <c r="G4624" i="1"/>
  <c r="G4622" i="1"/>
  <c r="G4620" i="1"/>
  <c r="G4618" i="1"/>
  <c r="G4616" i="1"/>
  <c r="G4614" i="1"/>
  <c r="G4612" i="1"/>
  <c r="G4610" i="1"/>
  <c r="G4608" i="1"/>
  <c r="G4606" i="1"/>
  <c r="G4604" i="1"/>
  <c r="G4602" i="1"/>
  <c r="G4600" i="1"/>
  <c r="G4598" i="1"/>
  <c r="G4596" i="1"/>
  <c r="G4594" i="1"/>
  <c r="G4592" i="1"/>
  <c r="G4590" i="1"/>
  <c r="G4588" i="1"/>
  <c r="G4586" i="1"/>
  <c r="G4584" i="1"/>
  <c r="G4582" i="1"/>
  <c r="G4580" i="1"/>
  <c r="G4578" i="1"/>
  <c r="G4576" i="1"/>
  <c r="G4574" i="1"/>
  <c r="G4572" i="1"/>
  <c r="G4570" i="1"/>
  <c r="G4568" i="1"/>
  <c r="G4566" i="1"/>
  <c r="G4564" i="1"/>
  <c r="G4562" i="1"/>
  <c r="G4560" i="1"/>
  <c r="G4558" i="1"/>
  <c r="G4556" i="1"/>
  <c r="G4554" i="1"/>
  <c r="G4552" i="1"/>
  <c r="G4550" i="1"/>
  <c r="G4548" i="1"/>
  <c r="G4546" i="1"/>
  <c r="G4544" i="1"/>
  <c r="G4542" i="1"/>
  <c r="G4540" i="1"/>
  <c r="G4538" i="1"/>
  <c r="G4536" i="1"/>
  <c r="G4534" i="1"/>
  <c r="G4532" i="1"/>
  <c r="G4530" i="1"/>
  <c r="G4528" i="1"/>
  <c r="G4526" i="1"/>
  <c r="G4524" i="1"/>
  <c r="G4522" i="1"/>
  <c r="G4520" i="1"/>
  <c r="G4518" i="1"/>
  <c r="G4516" i="1"/>
  <c r="G4514" i="1"/>
  <c r="G4512" i="1"/>
  <c r="G4510" i="1"/>
  <c r="G4508" i="1"/>
  <c r="G4506" i="1"/>
  <c r="G4504" i="1"/>
  <c r="G4502" i="1"/>
  <c r="G4500" i="1"/>
  <c r="G4498" i="1"/>
  <c r="G4496" i="1"/>
  <c r="G4494" i="1"/>
  <c r="G4492" i="1"/>
  <c r="G4490" i="1"/>
  <c r="G4488" i="1"/>
  <c r="G4486" i="1"/>
  <c r="G4484" i="1"/>
  <c r="G4482" i="1"/>
  <c r="G4480" i="1"/>
  <c r="G4478" i="1"/>
  <c r="G4476" i="1"/>
  <c r="G4474" i="1"/>
  <c r="G4472" i="1"/>
  <c r="G4470" i="1"/>
  <c r="G4468" i="1"/>
  <c r="G4466" i="1"/>
  <c r="G4464" i="1"/>
  <c r="G4462" i="1"/>
  <c r="G4460" i="1"/>
  <c r="G4458" i="1"/>
  <c r="G4456" i="1"/>
  <c r="G4454" i="1"/>
  <c r="G4452" i="1"/>
  <c r="G4450" i="1"/>
  <c r="G4448" i="1"/>
  <c r="G4446" i="1"/>
  <c r="G4444" i="1"/>
  <c r="G4442" i="1"/>
  <c r="G4440" i="1"/>
  <c r="G4438" i="1"/>
  <c r="G4436" i="1"/>
  <c r="G4434" i="1"/>
  <c r="G4432" i="1"/>
  <c r="G4430" i="1"/>
  <c r="G4428" i="1"/>
  <c r="G4426" i="1"/>
  <c r="G4424" i="1"/>
  <c r="G4422" i="1"/>
  <c r="G4420" i="1"/>
  <c r="G4418" i="1"/>
  <c r="G4416" i="1"/>
  <c r="G4414" i="1"/>
  <c r="G4412" i="1"/>
  <c r="G4410" i="1"/>
  <c r="G4408" i="1"/>
  <c r="G4406" i="1"/>
  <c r="G4404" i="1"/>
  <c r="G4402" i="1"/>
  <c r="G4400" i="1"/>
  <c r="G4398" i="1"/>
  <c r="G4396" i="1"/>
  <c r="G4394" i="1"/>
  <c r="G4392" i="1"/>
  <c r="G4390" i="1"/>
  <c r="G4388" i="1"/>
  <c r="G4386" i="1"/>
  <c r="G4384" i="1"/>
  <c r="G4382" i="1"/>
  <c r="G4380" i="1"/>
  <c r="G4378" i="1"/>
  <c r="G4376" i="1"/>
  <c r="G4374" i="1"/>
  <c r="G4372" i="1"/>
  <c r="G4370" i="1"/>
  <c r="G4368" i="1"/>
  <c r="G4366" i="1"/>
  <c r="G4364" i="1"/>
  <c r="G4362" i="1"/>
  <c r="G4360" i="1"/>
  <c r="G4358" i="1"/>
  <c r="G4356" i="1"/>
  <c r="G4354" i="1"/>
  <c r="G4352" i="1"/>
  <c r="G4350" i="1"/>
  <c r="G4348" i="1"/>
  <c r="G4346" i="1"/>
  <c r="G4344" i="1"/>
  <c r="G4342" i="1"/>
  <c r="G4340" i="1"/>
  <c r="G4338" i="1"/>
  <c r="G4336" i="1"/>
  <c r="G4334" i="1"/>
  <c r="G4332" i="1"/>
  <c r="G4330" i="1"/>
  <c r="G4328" i="1"/>
  <c r="G4326" i="1"/>
  <c r="G4324" i="1"/>
  <c r="G4322" i="1"/>
  <c r="G4320" i="1"/>
  <c r="G4318" i="1"/>
  <c r="G4316" i="1"/>
  <c r="G4314" i="1"/>
  <c r="G4312" i="1"/>
  <c r="G4310" i="1"/>
  <c r="G4308" i="1"/>
  <c r="G4306" i="1"/>
  <c r="G4304" i="1"/>
  <c r="G4302" i="1"/>
  <c r="G4300" i="1"/>
  <c r="G4298" i="1"/>
  <c r="G4296" i="1"/>
  <c r="G4294" i="1"/>
  <c r="G4292" i="1"/>
  <c r="G4290" i="1"/>
  <c r="G4288" i="1"/>
  <c r="G4286" i="1"/>
  <c r="G4284" i="1"/>
  <c r="G4282" i="1"/>
  <c r="G4280" i="1"/>
  <c r="G4278" i="1"/>
  <c r="G4276" i="1"/>
  <c r="G4274" i="1"/>
  <c r="G4272" i="1"/>
  <c r="G4270" i="1"/>
  <c r="G4268" i="1"/>
  <c r="G4266" i="1"/>
  <c r="G4264" i="1"/>
  <c r="G4262" i="1"/>
  <c r="G4260" i="1"/>
  <c r="G4258" i="1"/>
  <c r="G4256" i="1"/>
  <c r="G4254" i="1"/>
  <c r="G4252" i="1"/>
  <c r="G4250" i="1"/>
  <c r="G4248" i="1"/>
  <c r="G4246" i="1"/>
  <c r="G4244" i="1"/>
  <c r="G4242" i="1"/>
  <c r="G4240" i="1"/>
  <c r="G4238" i="1"/>
  <c r="G4236" i="1"/>
  <c r="G4234" i="1"/>
  <c r="G4232" i="1"/>
  <c r="G4230" i="1"/>
  <c r="G4228" i="1"/>
  <c r="G4226" i="1"/>
  <c r="G4224" i="1"/>
  <c r="G4222" i="1"/>
  <c r="G4220" i="1"/>
  <c r="G4218" i="1"/>
  <c r="G4216" i="1"/>
  <c r="G4214" i="1"/>
  <c r="G4212" i="1"/>
  <c r="G4210" i="1"/>
  <c r="G4208" i="1"/>
  <c r="G4206" i="1"/>
  <c r="G4204" i="1"/>
  <c r="G4202" i="1"/>
  <c r="G4200" i="1"/>
  <c r="G4198" i="1"/>
  <c r="G4196" i="1"/>
  <c r="G4194" i="1"/>
  <c r="G4192" i="1"/>
  <c r="G4190" i="1"/>
  <c r="G4188" i="1"/>
  <c r="G4186" i="1"/>
  <c r="G4184" i="1"/>
  <c r="G4182" i="1"/>
  <c r="G4180" i="1"/>
  <c r="G4178" i="1"/>
  <c r="G4176" i="1"/>
  <c r="G4174" i="1"/>
  <c r="G4172" i="1"/>
  <c r="G4170" i="1"/>
  <c r="G4168" i="1"/>
  <c r="G4166" i="1"/>
  <c r="G4164" i="1"/>
  <c r="G4162" i="1"/>
  <c r="G4160" i="1"/>
  <c r="G4158" i="1"/>
  <c r="G4156" i="1"/>
  <c r="G4154" i="1"/>
  <c r="G4152" i="1"/>
  <c r="G4150" i="1"/>
  <c r="G4148" i="1"/>
  <c r="G4146" i="1"/>
  <c r="G4144" i="1"/>
  <c r="G4142" i="1"/>
  <c r="G4140" i="1"/>
  <c r="G4138" i="1"/>
  <c r="G4136" i="1"/>
  <c r="G4134" i="1"/>
  <c r="G4132" i="1"/>
  <c r="G4130" i="1"/>
  <c r="G4128" i="1"/>
  <c r="G4126" i="1"/>
  <c r="G4124" i="1"/>
  <c r="G4122" i="1"/>
  <c r="G4120" i="1"/>
  <c r="G4118" i="1"/>
  <c r="G4116" i="1"/>
  <c r="G4114" i="1"/>
  <c r="G4112" i="1"/>
  <c r="G4110" i="1"/>
  <c r="G4108" i="1"/>
  <c r="G4106" i="1"/>
  <c r="G4104" i="1"/>
  <c r="G4102" i="1"/>
  <c r="G4100" i="1"/>
  <c r="G4098" i="1"/>
  <c r="G4096" i="1"/>
  <c r="G4094" i="1"/>
  <c r="G4092" i="1"/>
  <c r="G4090" i="1"/>
  <c r="G4088" i="1"/>
  <c r="G4086" i="1"/>
  <c r="G4084" i="1"/>
  <c r="G4082" i="1"/>
  <c r="G4080" i="1"/>
  <c r="G4078" i="1"/>
  <c r="G4076" i="1"/>
  <c r="G4074" i="1"/>
  <c r="G4072" i="1"/>
  <c r="G4070" i="1"/>
  <c r="G4068" i="1"/>
  <c r="G4066" i="1"/>
  <c r="G4064" i="1"/>
  <c r="G4062" i="1"/>
  <c r="G4060" i="1"/>
  <c r="G4058" i="1"/>
  <c r="G4056" i="1"/>
  <c r="G4054" i="1"/>
  <c r="G4052" i="1"/>
  <c r="G4050" i="1"/>
  <c r="G4048" i="1"/>
  <c r="G4046" i="1"/>
  <c r="G4044" i="1"/>
  <c r="G4042" i="1"/>
  <c r="G4040" i="1"/>
  <c r="G4038" i="1"/>
  <c r="G4036" i="1"/>
  <c r="G4034" i="1"/>
  <c r="G4032" i="1"/>
  <c r="G4030" i="1"/>
  <c r="G4028" i="1"/>
  <c r="G4026" i="1"/>
  <c r="G4024" i="1"/>
  <c r="G4022" i="1"/>
  <c r="G4020" i="1"/>
  <c r="G4018" i="1"/>
  <c r="G4016" i="1"/>
  <c r="G4014" i="1"/>
  <c r="G4012" i="1"/>
  <c r="G4010" i="1"/>
  <c r="G4008" i="1"/>
  <c r="G4006" i="1"/>
  <c r="G4004" i="1"/>
  <c r="G4002" i="1"/>
  <c r="G4000" i="1"/>
  <c r="G3998" i="1"/>
  <c r="G3996" i="1"/>
  <c r="G3994" i="1"/>
  <c r="G3992" i="1"/>
  <c r="G3990" i="1"/>
  <c r="G3988" i="1"/>
  <c r="G3986" i="1"/>
  <c r="G3984" i="1"/>
  <c r="G3982" i="1"/>
  <c r="G3980" i="1"/>
  <c r="G3978" i="1"/>
  <c r="G3976" i="1"/>
  <c r="G3974" i="1"/>
  <c r="G3972" i="1"/>
  <c r="G3970" i="1"/>
  <c r="G3968" i="1"/>
  <c r="G3966" i="1"/>
  <c r="G3964" i="1"/>
  <c r="G3962" i="1"/>
  <c r="G3960" i="1"/>
  <c r="G3958" i="1"/>
  <c r="G3956" i="1"/>
  <c r="G3954" i="1"/>
  <c r="G3952" i="1"/>
  <c r="G3950" i="1"/>
  <c r="G3948" i="1"/>
  <c r="G3946" i="1"/>
  <c r="G3944" i="1"/>
  <c r="G3942" i="1"/>
  <c r="G3940" i="1"/>
  <c r="G3938" i="1"/>
  <c r="G3936" i="1"/>
  <c r="G3934" i="1"/>
  <c r="G3932" i="1"/>
  <c r="G3930" i="1"/>
  <c r="G3928" i="1"/>
  <c r="G3926" i="1"/>
  <c r="G3924" i="1"/>
  <c r="G3922" i="1"/>
  <c r="G3920" i="1"/>
  <c r="G3918" i="1"/>
  <c r="G3916" i="1"/>
  <c r="G3914" i="1"/>
  <c r="G3912" i="1"/>
  <c r="G3910" i="1"/>
  <c r="G3908" i="1"/>
  <c r="G3906" i="1"/>
  <c r="G3904" i="1"/>
  <c r="G3902" i="1"/>
  <c r="G3900" i="1"/>
  <c r="G3898" i="1"/>
  <c r="G3896" i="1"/>
  <c r="G3894" i="1"/>
  <c r="G3892" i="1"/>
  <c r="G3890" i="1"/>
  <c r="G3888" i="1"/>
  <c r="G3886" i="1"/>
  <c r="G3884" i="1"/>
  <c r="G3882" i="1"/>
  <c r="G3880" i="1"/>
  <c r="G3878" i="1"/>
  <c r="G3876" i="1"/>
  <c r="G3874" i="1"/>
  <c r="G3872" i="1"/>
  <c r="G3870" i="1"/>
  <c r="G3868" i="1"/>
  <c r="G3866" i="1"/>
  <c r="G3864" i="1"/>
  <c r="G3862" i="1"/>
  <c r="G3860" i="1"/>
  <c r="G3858" i="1"/>
  <c r="G3856" i="1"/>
  <c r="G3854" i="1"/>
  <c r="G3852" i="1"/>
  <c r="G3850" i="1"/>
  <c r="G3848" i="1"/>
  <c r="G3846" i="1"/>
  <c r="G3844" i="1"/>
  <c r="G3842" i="1"/>
  <c r="G3840" i="1"/>
  <c r="G3838" i="1"/>
  <c r="G3836" i="1"/>
  <c r="G3834" i="1"/>
  <c r="G3832" i="1"/>
  <c r="G3830" i="1"/>
  <c r="G3828" i="1"/>
  <c r="G3826" i="1"/>
  <c r="G3824" i="1"/>
  <c r="G3822" i="1"/>
  <c r="G3820" i="1"/>
  <c r="G3818" i="1"/>
  <c r="G3816" i="1"/>
  <c r="G3814" i="1"/>
  <c r="G3812" i="1"/>
  <c r="G3810" i="1"/>
  <c r="G3808" i="1"/>
  <c r="G3806" i="1"/>
  <c r="G3804" i="1"/>
  <c r="G3802" i="1"/>
  <c r="G3800" i="1"/>
  <c r="G3798" i="1"/>
  <c r="G3796" i="1"/>
  <c r="G3794" i="1"/>
  <c r="G3792" i="1"/>
  <c r="G3790" i="1"/>
  <c r="G3788" i="1"/>
  <c r="G3786" i="1"/>
  <c r="G3784" i="1"/>
  <c r="G3782" i="1"/>
  <c r="G3780" i="1"/>
  <c r="G3778" i="1"/>
  <c r="G3776" i="1"/>
  <c r="G3774" i="1"/>
  <c r="G3772" i="1"/>
  <c r="G3770" i="1"/>
  <c r="G3768" i="1"/>
  <c r="G3766" i="1"/>
  <c r="G3764" i="1"/>
  <c r="G3762" i="1"/>
  <c r="G3760" i="1"/>
  <c r="G3758" i="1"/>
  <c r="G3756" i="1"/>
  <c r="G3754" i="1"/>
  <c r="G3752" i="1"/>
  <c r="G3750" i="1"/>
  <c r="G3748" i="1"/>
  <c r="G3746" i="1"/>
  <c r="G3744" i="1"/>
  <c r="G3742" i="1"/>
  <c r="G3740" i="1"/>
  <c r="G3738" i="1"/>
  <c r="G3736" i="1"/>
  <c r="G3734" i="1"/>
  <c r="G3732" i="1"/>
  <c r="G3730" i="1"/>
  <c r="G3728" i="1"/>
  <c r="G3726" i="1"/>
  <c r="G3724" i="1"/>
  <c r="G3722" i="1"/>
  <c r="G3720" i="1"/>
  <c r="G3718" i="1"/>
  <c r="G3716" i="1"/>
  <c r="G3714" i="1"/>
  <c r="G3712" i="1"/>
  <c r="G3710" i="1"/>
  <c r="G3708" i="1"/>
  <c r="G3706" i="1"/>
  <c r="G3704" i="1"/>
  <c r="G3702" i="1"/>
  <c r="G3700" i="1"/>
  <c r="G3698" i="1"/>
  <c r="G3696" i="1"/>
  <c r="G3694" i="1"/>
  <c r="G3692" i="1"/>
  <c r="G3690" i="1"/>
  <c r="G3688" i="1"/>
  <c r="G3686" i="1"/>
  <c r="G3684" i="1"/>
  <c r="G3682" i="1"/>
  <c r="G3680" i="1"/>
  <c r="G3678" i="1"/>
  <c r="G3676" i="1"/>
  <c r="G3674" i="1"/>
  <c r="G3672" i="1"/>
  <c r="G3670" i="1"/>
  <c r="G3668" i="1"/>
  <c r="G3666" i="1"/>
  <c r="G3664" i="1"/>
  <c r="G3662" i="1"/>
  <c r="G3660" i="1"/>
  <c r="G3658" i="1"/>
  <c r="G3656" i="1"/>
  <c r="G3654" i="1"/>
  <c r="G3652" i="1"/>
  <c r="G3650" i="1"/>
  <c r="G3648" i="1"/>
  <c r="G3646" i="1"/>
  <c r="G3644" i="1"/>
  <c r="G3642" i="1"/>
  <c r="G3640" i="1"/>
  <c r="G3638" i="1"/>
  <c r="G3636" i="1"/>
  <c r="G3634" i="1"/>
  <c r="G3632" i="1"/>
  <c r="G3630" i="1"/>
  <c r="G3628" i="1"/>
  <c r="G3626" i="1"/>
  <c r="G3624" i="1"/>
  <c r="G3622" i="1"/>
  <c r="G3620" i="1"/>
  <c r="G3618" i="1"/>
  <c r="G3616" i="1"/>
  <c r="G3614" i="1"/>
  <c r="G3612" i="1"/>
  <c r="G3610" i="1"/>
  <c r="G3608" i="1"/>
  <c r="G3606" i="1"/>
  <c r="G3604" i="1"/>
  <c r="G3602" i="1"/>
  <c r="G3600" i="1"/>
  <c r="G3598" i="1"/>
  <c r="G3596" i="1"/>
  <c r="G3594" i="1"/>
  <c r="G3592" i="1"/>
  <c r="G3590" i="1"/>
  <c r="G3588" i="1"/>
  <c r="G3586" i="1"/>
  <c r="G3584" i="1"/>
  <c r="G3582" i="1"/>
  <c r="G3580" i="1"/>
  <c r="G3578" i="1"/>
  <c r="G3576" i="1"/>
  <c r="G3574" i="1"/>
  <c r="G3572" i="1"/>
  <c r="G3570" i="1"/>
  <c r="G3568" i="1"/>
  <c r="G3566" i="1"/>
  <c r="G3564" i="1"/>
  <c r="G3562" i="1"/>
  <c r="G3560" i="1"/>
  <c r="G3558" i="1"/>
  <c r="G3556" i="1"/>
  <c r="G3554" i="1"/>
  <c r="G3552" i="1"/>
  <c r="G3550" i="1"/>
  <c r="G3548" i="1"/>
  <c r="G3546" i="1"/>
  <c r="G3544" i="1"/>
  <c r="G3542" i="1"/>
  <c r="G3540" i="1"/>
  <c r="G3538" i="1"/>
  <c r="G3536" i="1"/>
  <c r="G3534" i="1"/>
  <c r="G3532" i="1"/>
  <c r="G3530" i="1"/>
  <c r="G3528" i="1"/>
  <c r="G3526" i="1"/>
  <c r="G3524" i="1"/>
  <c r="G3522" i="1"/>
  <c r="G3520" i="1"/>
  <c r="G3518" i="1"/>
  <c r="G3516" i="1"/>
  <c r="G3514" i="1"/>
  <c r="G3512" i="1"/>
  <c r="G3510" i="1"/>
  <c r="G3508" i="1"/>
  <c r="G3506" i="1"/>
  <c r="G3504" i="1"/>
  <c r="G3502" i="1"/>
  <c r="G3500" i="1"/>
  <c r="G3498" i="1"/>
  <c r="G3496" i="1"/>
  <c r="G3494" i="1"/>
  <c r="G3492" i="1"/>
  <c r="G3490" i="1"/>
  <c r="G3488" i="1"/>
  <c r="G3486" i="1"/>
  <c r="G3484" i="1"/>
  <c r="G3482" i="1"/>
  <c r="G3480" i="1"/>
  <c r="G3478" i="1"/>
  <c r="G3476" i="1"/>
  <c r="G3474" i="1"/>
  <c r="G3472" i="1"/>
  <c r="G3470" i="1"/>
  <c r="G3468" i="1"/>
  <c r="G3466" i="1"/>
  <c r="G3464" i="1"/>
  <c r="G3462" i="1"/>
  <c r="G3460" i="1"/>
  <c r="G3458" i="1"/>
  <c r="G3456" i="1"/>
  <c r="G3454" i="1"/>
  <c r="G3452" i="1"/>
  <c r="G3450" i="1"/>
  <c r="G3448" i="1"/>
  <c r="G3446" i="1"/>
  <c r="G3444" i="1"/>
  <c r="G3442" i="1"/>
  <c r="G3440" i="1"/>
  <c r="G3438" i="1"/>
  <c r="G3436" i="1"/>
  <c r="G3434" i="1"/>
  <c r="G3432" i="1"/>
  <c r="G3430" i="1"/>
  <c r="G3428" i="1"/>
  <c r="G3426" i="1"/>
  <c r="G3424" i="1"/>
  <c r="G3422" i="1"/>
  <c r="G3420" i="1"/>
  <c r="G3418" i="1"/>
  <c r="G3416" i="1"/>
  <c r="G3414" i="1"/>
  <c r="G3412" i="1"/>
  <c r="G3410" i="1"/>
  <c r="G3408" i="1"/>
  <c r="G3406" i="1"/>
  <c r="G3404" i="1"/>
  <c r="G3402" i="1"/>
  <c r="G3400" i="1"/>
  <c r="G3398" i="1"/>
  <c r="G3396" i="1"/>
  <c r="G3394" i="1"/>
  <c r="G3392" i="1"/>
  <c r="G3390" i="1"/>
  <c r="G3388" i="1"/>
  <c r="G3386" i="1"/>
  <c r="G3384" i="1"/>
  <c r="G3382" i="1"/>
  <c r="G3380" i="1"/>
  <c r="G3378" i="1"/>
  <c r="G3376" i="1"/>
  <c r="G3374" i="1"/>
  <c r="G3372" i="1"/>
  <c r="G3370" i="1"/>
  <c r="G3368" i="1"/>
  <c r="G3366" i="1"/>
  <c r="G3364" i="1"/>
  <c r="G3362" i="1"/>
  <c r="G3360" i="1"/>
  <c r="G3358" i="1"/>
  <c r="G3356" i="1"/>
  <c r="G3354" i="1"/>
  <c r="G3352" i="1"/>
  <c r="G3350" i="1"/>
  <c r="G3348" i="1"/>
  <c r="G3346" i="1"/>
  <c r="G3344" i="1"/>
  <c r="G3342" i="1"/>
  <c r="G3340" i="1"/>
  <c r="G3338" i="1"/>
  <c r="G3336" i="1"/>
  <c r="G3334" i="1"/>
  <c r="G3332" i="1"/>
  <c r="G3330" i="1"/>
  <c r="G3328" i="1"/>
  <c r="G3326" i="1"/>
  <c r="G3324" i="1"/>
  <c r="G3322" i="1"/>
  <c r="G3320" i="1"/>
  <c r="G3318" i="1"/>
  <c r="G3316" i="1"/>
  <c r="G3314" i="1"/>
  <c r="G3312" i="1"/>
  <c r="G3310" i="1"/>
  <c r="G3308" i="1"/>
  <c r="G3306" i="1"/>
  <c r="G3304" i="1"/>
  <c r="G3302" i="1"/>
  <c r="G3300" i="1"/>
  <c r="G3298" i="1"/>
  <c r="G3296" i="1"/>
  <c r="G3294" i="1"/>
  <c r="G3292" i="1"/>
  <c r="G3290" i="1"/>
  <c r="G3288" i="1"/>
  <c r="G3286" i="1"/>
  <c r="G3284" i="1"/>
  <c r="G3282" i="1"/>
  <c r="G3280" i="1"/>
  <c r="G3278" i="1"/>
  <c r="G3276" i="1"/>
  <c r="G3274" i="1"/>
  <c r="G3272" i="1"/>
  <c r="G3270" i="1"/>
  <c r="G3268" i="1"/>
  <c r="G3266" i="1"/>
  <c r="G3264" i="1"/>
  <c r="G3262" i="1"/>
  <c r="G3260" i="1"/>
  <c r="G3258" i="1"/>
  <c r="G3256" i="1"/>
  <c r="G3254" i="1"/>
  <c r="G3252" i="1"/>
  <c r="G3250" i="1"/>
  <c r="G3248" i="1"/>
  <c r="G3246" i="1"/>
  <c r="G3244" i="1"/>
  <c r="G3242" i="1"/>
  <c r="G3240" i="1"/>
  <c r="G3238" i="1"/>
  <c r="G3236" i="1"/>
  <c r="G3234" i="1"/>
  <c r="G3232" i="1"/>
  <c r="G3230" i="1"/>
  <c r="G3228" i="1"/>
  <c r="G3226" i="1"/>
  <c r="G3224" i="1"/>
  <c r="G3222" i="1"/>
  <c r="G3220" i="1"/>
  <c r="G3218" i="1"/>
  <c r="G3216" i="1"/>
  <c r="G3214" i="1"/>
  <c r="G3212" i="1"/>
  <c r="G3210" i="1"/>
  <c r="G3208" i="1"/>
  <c r="G3206" i="1"/>
  <c r="G3204" i="1"/>
  <c r="G3202" i="1"/>
  <c r="G3200" i="1"/>
  <c r="G3198" i="1"/>
  <c r="G3196" i="1"/>
  <c r="G3194" i="1"/>
  <c r="G3192" i="1"/>
  <c r="G3190" i="1"/>
  <c r="G3188" i="1"/>
  <c r="G3186" i="1"/>
  <c r="G3184" i="1"/>
  <c r="G3182" i="1"/>
  <c r="G3180" i="1"/>
  <c r="G3178" i="1"/>
  <c r="G3176" i="1"/>
  <c r="G3174" i="1"/>
  <c r="G3172" i="1"/>
  <c r="G3170" i="1"/>
  <c r="G3168" i="1"/>
  <c r="G3166" i="1"/>
  <c r="G3164" i="1"/>
  <c r="G3162" i="1"/>
  <c r="G3160" i="1"/>
  <c r="G3158" i="1"/>
  <c r="G3156" i="1"/>
  <c r="G3154" i="1"/>
  <c r="G3152" i="1"/>
  <c r="G3150" i="1"/>
  <c r="G3148" i="1"/>
  <c r="G3146" i="1"/>
  <c r="G3144" i="1"/>
  <c r="G3142" i="1"/>
  <c r="G3140" i="1"/>
  <c r="G3138" i="1"/>
  <c r="G3136" i="1"/>
  <c r="G3134" i="1"/>
  <c r="G3132" i="1"/>
  <c r="G3130" i="1"/>
  <c r="G3128" i="1"/>
  <c r="G3126" i="1"/>
  <c r="G3124" i="1"/>
  <c r="G3122" i="1"/>
  <c r="G3120" i="1"/>
  <c r="G3118" i="1"/>
  <c r="G3116" i="1"/>
  <c r="G3114" i="1"/>
  <c r="G3112" i="1"/>
  <c r="G3110" i="1"/>
  <c r="G3108" i="1"/>
  <c r="G3106" i="1"/>
  <c r="G3104" i="1"/>
  <c r="G3102" i="1"/>
  <c r="G3100" i="1"/>
  <c r="G3098" i="1"/>
  <c r="G3096" i="1"/>
  <c r="G3094" i="1"/>
  <c r="G3092" i="1"/>
  <c r="G3090" i="1"/>
  <c r="G3088" i="1"/>
  <c r="G3086" i="1"/>
  <c r="G3084" i="1"/>
  <c r="G3082" i="1"/>
  <c r="G3080" i="1"/>
  <c r="G3078" i="1"/>
  <c r="G3076" i="1"/>
  <c r="G3074" i="1"/>
  <c r="G3072" i="1"/>
  <c r="G3070" i="1"/>
  <c r="G3068" i="1"/>
  <c r="G3066" i="1"/>
  <c r="G3064" i="1"/>
  <c r="G3062" i="1"/>
  <c r="G3060" i="1"/>
  <c r="G3058" i="1"/>
  <c r="G3056" i="1"/>
  <c r="G3054" i="1"/>
  <c r="G3052" i="1"/>
  <c r="G3050" i="1"/>
  <c r="G3048" i="1"/>
  <c r="G3046" i="1"/>
  <c r="G3044" i="1"/>
  <c r="G3042" i="1"/>
  <c r="G3040" i="1"/>
  <c r="G3038" i="1"/>
  <c r="G3036" i="1"/>
  <c r="G3034" i="1"/>
  <c r="G3032" i="1"/>
  <c r="G3030" i="1"/>
  <c r="G3028" i="1"/>
  <c r="G3026" i="1"/>
  <c r="G3024" i="1"/>
  <c r="G3022" i="1"/>
  <c r="G3020" i="1"/>
  <c r="G3018" i="1"/>
  <c r="G3016" i="1"/>
  <c r="G3014" i="1"/>
  <c r="G3012" i="1"/>
  <c r="G3010" i="1"/>
  <c r="G3008" i="1"/>
  <c r="G3006" i="1"/>
  <c r="G3004" i="1"/>
  <c r="G3002" i="1"/>
  <c r="G3000" i="1"/>
  <c r="G2998" i="1"/>
  <c r="G2996" i="1"/>
  <c r="G2994" i="1"/>
  <c r="G2992" i="1"/>
  <c r="G2990" i="1"/>
  <c r="G2988" i="1"/>
  <c r="G2986" i="1"/>
  <c r="G2984" i="1"/>
  <c r="G2982" i="1"/>
  <c r="G2980" i="1"/>
  <c r="G2978" i="1"/>
  <c r="G2976" i="1"/>
  <c r="G2974" i="1"/>
  <c r="G2972" i="1"/>
  <c r="G2970" i="1"/>
  <c r="G2968" i="1"/>
  <c r="G2966" i="1"/>
  <c r="G2964" i="1"/>
  <c r="G2962" i="1"/>
  <c r="G2960" i="1"/>
  <c r="G2958" i="1"/>
  <c r="G2956" i="1"/>
  <c r="G2954" i="1"/>
  <c r="G2952" i="1"/>
  <c r="G2950" i="1"/>
  <c r="G2948" i="1"/>
  <c r="G2946" i="1"/>
  <c r="G2944" i="1"/>
  <c r="G2942" i="1"/>
  <c r="G2940" i="1"/>
  <c r="G2938" i="1"/>
  <c r="G2936" i="1"/>
  <c r="G2934" i="1"/>
  <c r="G2932" i="1"/>
  <c r="G2930" i="1"/>
  <c r="G2928" i="1"/>
  <c r="G2926" i="1"/>
  <c r="G2924" i="1"/>
  <c r="G2922" i="1"/>
  <c r="G2920" i="1"/>
  <c r="G2918" i="1"/>
  <c r="G2916" i="1"/>
  <c r="G2914" i="1"/>
  <c r="G2912" i="1"/>
  <c r="G2910" i="1"/>
  <c r="G2908" i="1"/>
  <c r="G2906" i="1"/>
  <c r="G2904" i="1"/>
  <c r="G2902" i="1"/>
  <c r="G2900" i="1"/>
  <c r="G2898" i="1"/>
  <c r="G2896" i="1"/>
  <c r="G2894" i="1"/>
  <c r="G2892" i="1"/>
  <c r="G2890" i="1"/>
  <c r="G2888" i="1"/>
  <c r="G2886" i="1"/>
  <c r="G2884" i="1"/>
  <c r="G2882" i="1"/>
  <c r="G2880" i="1"/>
  <c r="G2878" i="1"/>
  <c r="G2876" i="1"/>
  <c r="G2874" i="1"/>
  <c r="G2872" i="1"/>
  <c r="G2870" i="1"/>
  <c r="G2868" i="1"/>
  <c r="G2866" i="1"/>
  <c r="G2864" i="1"/>
  <c r="G2862" i="1"/>
  <c r="G2860" i="1"/>
  <c r="G2858" i="1"/>
  <c r="G2856" i="1"/>
  <c r="G2854" i="1"/>
  <c r="G2852" i="1"/>
  <c r="G2850" i="1"/>
  <c r="G2848" i="1"/>
  <c r="G2846" i="1"/>
  <c r="G2844" i="1"/>
  <c r="G2842" i="1"/>
  <c r="G2840" i="1"/>
  <c r="G2838" i="1"/>
  <c r="G2836" i="1"/>
  <c r="G2834" i="1"/>
  <c r="G2832" i="1"/>
  <c r="G2830" i="1"/>
  <c r="G2828" i="1"/>
  <c r="G2826" i="1"/>
  <c r="G2824" i="1"/>
  <c r="G2822" i="1"/>
  <c r="G2820" i="1"/>
  <c r="G2818" i="1"/>
  <c r="G2816" i="1"/>
  <c r="G2814" i="1"/>
  <c r="G2812" i="1"/>
  <c r="G2810" i="1"/>
  <c r="G2808" i="1"/>
  <c r="G2806" i="1"/>
  <c r="G2804" i="1"/>
  <c r="G2802" i="1"/>
  <c r="G2800" i="1"/>
  <c r="G2798" i="1"/>
  <c r="G2796" i="1"/>
  <c r="G2794" i="1"/>
  <c r="G2792" i="1"/>
  <c r="G2790" i="1"/>
  <c r="G2788" i="1"/>
  <c r="G2786" i="1"/>
  <c r="G2784" i="1"/>
  <c r="G2782" i="1"/>
  <c r="G2780" i="1"/>
  <c r="G2778" i="1"/>
  <c r="G2776" i="1"/>
  <c r="G2774" i="1"/>
  <c r="G2772" i="1"/>
  <c r="G2770" i="1"/>
  <c r="G2768" i="1"/>
  <c r="G2766" i="1"/>
  <c r="G2764" i="1"/>
  <c r="G2762" i="1"/>
  <c r="G2760" i="1"/>
  <c r="G2758" i="1"/>
  <c r="G2756" i="1"/>
  <c r="G2754" i="1"/>
  <c r="G2752" i="1"/>
  <c r="G2750" i="1"/>
  <c r="G2748" i="1"/>
  <c r="G2746" i="1"/>
  <c r="G2744" i="1"/>
  <c r="G2742" i="1"/>
  <c r="G2740" i="1"/>
  <c r="G2738" i="1"/>
  <c r="G2736" i="1"/>
  <c r="G2734" i="1"/>
  <c r="G2732" i="1"/>
  <c r="G2730" i="1"/>
  <c r="G2728" i="1"/>
  <c r="G2726" i="1"/>
  <c r="G2724" i="1"/>
  <c r="G2722" i="1"/>
  <c r="G2720" i="1"/>
  <c r="G2718" i="1"/>
  <c r="G2716" i="1"/>
  <c r="G2714" i="1"/>
  <c r="G2712" i="1"/>
  <c r="G2710" i="1"/>
  <c r="G2708" i="1"/>
  <c r="G2706" i="1"/>
  <c r="G2704" i="1"/>
  <c r="G2702" i="1"/>
  <c r="G2700" i="1"/>
  <c r="G2698" i="1"/>
  <c r="G2696" i="1"/>
  <c r="G2694" i="1"/>
  <c r="G2692" i="1"/>
  <c r="G2690" i="1"/>
  <c r="G2688" i="1"/>
  <c r="G2686" i="1"/>
  <c r="G2684" i="1"/>
  <c r="G2682" i="1"/>
  <c r="G2680" i="1"/>
  <c r="G2678" i="1"/>
  <c r="G2676" i="1"/>
  <c r="G2674" i="1"/>
  <c r="G2672" i="1"/>
  <c r="G2670" i="1"/>
  <c r="G2668" i="1"/>
  <c r="G2666" i="1"/>
  <c r="G2664" i="1"/>
  <c r="G2662" i="1"/>
  <c r="G2660" i="1"/>
  <c r="G2658" i="1"/>
  <c r="G2656" i="1"/>
  <c r="G2654" i="1"/>
  <c r="G2652" i="1"/>
  <c r="G2650" i="1"/>
  <c r="G2648" i="1"/>
  <c r="G2646" i="1"/>
  <c r="G2644" i="1"/>
  <c r="G2642" i="1"/>
  <c r="G2640" i="1"/>
  <c r="G2638" i="1"/>
  <c r="G2636" i="1"/>
  <c r="G2634" i="1"/>
  <c r="G2632" i="1"/>
  <c r="G2630" i="1"/>
  <c r="G2628" i="1"/>
  <c r="G2626" i="1"/>
  <c r="G2624" i="1"/>
  <c r="G2622" i="1"/>
  <c r="G2620" i="1"/>
  <c r="G2618" i="1"/>
  <c r="G2616" i="1"/>
  <c r="G2614" i="1"/>
  <c r="G2612" i="1"/>
  <c r="G2610" i="1"/>
  <c r="G2608" i="1"/>
  <c r="G2606" i="1"/>
  <c r="G2604" i="1"/>
  <c r="G2602" i="1"/>
  <c r="G2600" i="1"/>
  <c r="G2598" i="1"/>
  <c r="G2596" i="1"/>
  <c r="G2594" i="1"/>
  <c r="G2592" i="1"/>
  <c r="G2590" i="1"/>
  <c r="G2588" i="1"/>
  <c r="G2586" i="1"/>
  <c r="G2584" i="1"/>
  <c r="G2582" i="1"/>
  <c r="G2580" i="1"/>
  <c r="G2578" i="1"/>
  <c r="G2576" i="1"/>
  <c r="G2574" i="1"/>
  <c r="G2572" i="1"/>
  <c r="G2570" i="1"/>
  <c r="G2568" i="1"/>
  <c r="G2566" i="1"/>
  <c r="G2564" i="1"/>
  <c r="G2562" i="1"/>
  <c r="G2560" i="1"/>
  <c r="G2558" i="1"/>
  <c r="G2556" i="1"/>
  <c r="G2554" i="1"/>
  <c r="G2552" i="1"/>
  <c r="G2550" i="1"/>
  <c r="G2548" i="1"/>
  <c r="G2546" i="1"/>
  <c r="G2544" i="1"/>
  <c r="G2542" i="1"/>
  <c r="G2540" i="1"/>
  <c r="G2538" i="1"/>
  <c r="G2536" i="1"/>
  <c r="G2534" i="1"/>
  <c r="G2532" i="1"/>
  <c r="G2530" i="1"/>
  <c r="G2528" i="1"/>
  <c r="G2526" i="1"/>
  <c r="G2524" i="1"/>
  <c r="G2522" i="1"/>
  <c r="G2520" i="1"/>
  <c r="G2518" i="1"/>
  <c r="G2516" i="1"/>
  <c r="G2514" i="1"/>
  <c r="G2512" i="1"/>
  <c r="G2510" i="1"/>
  <c r="G2508" i="1"/>
  <c r="G2506" i="1"/>
  <c r="G2504" i="1"/>
  <c r="G2502" i="1"/>
  <c r="G2500" i="1"/>
  <c r="G2498" i="1"/>
  <c r="G2496" i="1"/>
  <c r="G2494" i="1"/>
  <c r="G2492" i="1"/>
  <c r="G2490" i="1"/>
  <c r="G2488" i="1"/>
  <c r="G2486" i="1"/>
  <c r="G2484" i="1"/>
  <c r="G2482" i="1"/>
  <c r="G2480" i="1"/>
  <c r="G2478" i="1"/>
  <c r="G2476" i="1"/>
  <c r="G2474" i="1"/>
  <c r="G2472" i="1"/>
  <c r="G2470" i="1"/>
  <c r="G2468" i="1"/>
  <c r="G2466" i="1"/>
  <c r="G2464" i="1"/>
  <c r="G2462" i="1"/>
  <c r="G2460" i="1"/>
  <c r="G2458" i="1"/>
  <c r="G2456" i="1"/>
  <c r="G2454" i="1"/>
  <c r="G2452" i="1"/>
  <c r="G2450" i="1"/>
  <c r="G2448" i="1"/>
  <c r="G2446" i="1"/>
  <c r="G2444" i="1"/>
  <c r="G2442" i="1"/>
  <c r="G2440" i="1"/>
  <c r="G2438" i="1"/>
  <c r="G2436" i="1"/>
  <c r="G2434" i="1"/>
  <c r="G2432" i="1"/>
  <c r="G2430" i="1"/>
  <c r="G2428" i="1"/>
  <c r="G2426" i="1"/>
  <c r="G2424" i="1"/>
  <c r="G2422" i="1"/>
  <c r="G2420" i="1"/>
  <c r="G2418" i="1"/>
  <c r="G2416" i="1"/>
  <c r="G2414" i="1"/>
  <c r="G2412" i="1"/>
  <c r="G2410" i="1"/>
  <c r="G2408" i="1"/>
  <c r="G2406" i="1"/>
  <c r="G2404" i="1"/>
  <c r="G2402" i="1"/>
  <c r="G2400" i="1"/>
  <c r="G2398" i="1"/>
  <c r="G2396" i="1"/>
  <c r="G2394" i="1"/>
  <c r="G2392" i="1"/>
  <c r="G2390" i="1"/>
  <c r="G2388" i="1"/>
  <c r="G2386" i="1"/>
  <c r="G2384" i="1"/>
  <c r="G2382" i="1"/>
  <c r="G2380" i="1"/>
  <c r="G2378" i="1"/>
  <c r="G2376" i="1"/>
  <c r="G2374" i="1"/>
  <c r="G2372" i="1"/>
  <c r="G2370" i="1"/>
  <c r="G2368" i="1"/>
  <c r="G2366" i="1"/>
  <c r="G2364" i="1"/>
  <c r="G2362" i="1"/>
  <c r="G2360" i="1"/>
  <c r="G2358" i="1"/>
  <c r="G2356" i="1"/>
  <c r="G2354" i="1"/>
  <c r="G2352" i="1"/>
  <c r="G2350" i="1"/>
  <c r="G2348" i="1"/>
  <c r="G2346" i="1"/>
  <c r="G2344" i="1"/>
  <c r="G2342" i="1"/>
  <c r="G2340" i="1"/>
  <c r="G2338" i="1"/>
  <c r="G2336" i="1"/>
  <c r="G2334" i="1"/>
  <c r="G2332" i="1"/>
  <c r="G2330" i="1"/>
  <c r="G2328" i="1"/>
  <c r="G2326" i="1"/>
  <c r="G2324" i="1"/>
  <c r="G2322" i="1"/>
  <c r="G2320" i="1"/>
  <c r="G2318" i="1"/>
  <c r="G2316" i="1"/>
  <c r="G2314" i="1"/>
  <c r="G2312" i="1"/>
  <c r="G2310" i="1"/>
  <c r="G2308" i="1"/>
  <c r="G2306" i="1"/>
  <c r="G2304" i="1"/>
  <c r="G2302" i="1"/>
  <c r="G2300" i="1"/>
  <c r="G2298" i="1"/>
  <c r="G2296" i="1"/>
  <c r="G2294" i="1"/>
  <c r="G2292" i="1"/>
  <c r="G2290" i="1"/>
  <c r="G2288" i="1"/>
  <c r="G2286" i="1"/>
  <c r="G2284" i="1"/>
  <c r="G2282" i="1"/>
  <c r="G2280" i="1"/>
  <c r="G2278" i="1"/>
  <c r="G2276" i="1"/>
  <c r="G2274" i="1"/>
  <c r="G2272" i="1"/>
  <c r="G2270" i="1"/>
  <c r="G2268" i="1"/>
  <c r="G2266" i="1"/>
  <c r="G2264" i="1"/>
  <c r="G2262" i="1"/>
  <c r="G2260" i="1"/>
  <c r="G2258" i="1"/>
  <c r="G2256" i="1"/>
  <c r="G2254" i="1"/>
  <c r="G2252" i="1"/>
  <c r="G2250" i="1"/>
  <c r="G2248" i="1"/>
  <c r="G2246" i="1"/>
  <c r="G2244" i="1"/>
  <c r="G2242" i="1"/>
  <c r="G2240" i="1"/>
  <c r="G2238" i="1"/>
  <c r="G2236" i="1"/>
  <c r="G2234" i="1"/>
  <c r="G2232" i="1"/>
  <c r="G2230" i="1"/>
  <c r="G2228" i="1"/>
  <c r="G2226" i="1"/>
  <c r="G2224" i="1"/>
  <c r="G2222" i="1"/>
  <c r="G2220" i="1"/>
  <c r="G2218" i="1"/>
  <c r="G2216" i="1"/>
  <c r="G2214" i="1"/>
  <c r="G2212" i="1"/>
  <c r="G2210" i="1"/>
  <c r="G2208" i="1"/>
  <c r="G2206" i="1"/>
  <c r="G2204" i="1"/>
  <c r="G2202" i="1"/>
  <c r="G2200" i="1"/>
  <c r="G2198" i="1"/>
  <c r="G2196" i="1"/>
  <c r="G2194" i="1"/>
  <c r="G2192" i="1"/>
  <c r="G2190" i="1"/>
  <c r="G2188" i="1"/>
  <c r="G2186" i="1"/>
  <c r="G2184" i="1"/>
  <c r="G2182" i="1"/>
  <c r="G2180" i="1"/>
  <c r="G2178" i="1"/>
  <c r="G2176" i="1"/>
  <c r="G2174" i="1"/>
  <c r="G2172" i="1"/>
  <c r="G2170" i="1"/>
  <c r="G2168" i="1"/>
  <c r="G2166" i="1"/>
  <c r="G2164" i="1"/>
  <c r="G2162" i="1"/>
  <c r="G2160" i="1"/>
  <c r="G2158" i="1"/>
  <c r="G2156" i="1"/>
  <c r="G2154" i="1"/>
  <c r="G2152" i="1"/>
  <c r="G2150" i="1"/>
  <c r="G2148" i="1"/>
  <c r="G2146" i="1"/>
  <c r="G2144" i="1"/>
  <c r="G2142" i="1"/>
  <c r="G2140" i="1"/>
  <c r="G2138" i="1"/>
  <c r="G2136" i="1"/>
  <c r="G2134" i="1"/>
  <c r="G2132" i="1"/>
  <c r="G2130" i="1"/>
  <c r="G2128" i="1"/>
  <c r="G2126" i="1"/>
  <c r="G2124" i="1"/>
  <c r="G2122" i="1"/>
  <c r="G2120" i="1"/>
  <c r="G2118" i="1"/>
  <c r="G2116" i="1"/>
  <c r="G2114" i="1"/>
  <c r="G2112" i="1"/>
  <c r="G2110" i="1"/>
  <c r="G2108" i="1"/>
  <c r="G2106" i="1"/>
  <c r="G2104" i="1"/>
  <c r="G2102" i="1"/>
  <c r="G2100" i="1"/>
  <c r="G2098" i="1"/>
  <c r="G2096" i="1"/>
  <c r="G2094" i="1"/>
  <c r="G2092" i="1"/>
  <c r="G2090" i="1"/>
  <c r="G2088" i="1"/>
  <c r="G2086" i="1"/>
  <c r="G2084" i="1"/>
  <c r="G2082" i="1"/>
  <c r="G2080" i="1"/>
  <c r="G2078" i="1"/>
  <c r="G2076" i="1"/>
  <c r="G2074" i="1"/>
  <c r="G2072" i="1"/>
  <c r="G2070" i="1"/>
  <c r="G2068" i="1"/>
  <c r="G2066" i="1"/>
  <c r="G2064" i="1"/>
  <c r="G2062" i="1"/>
  <c r="G2060" i="1"/>
  <c r="G2058" i="1"/>
  <c r="G2056" i="1"/>
  <c r="G2054" i="1"/>
  <c r="G2052" i="1"/>
  <c r="G2050" i="1"/>
  <c r="G2048" i="1"/>
  <c r="G2046" i="1"/>
  <c r="G2044" i="1"/>
  <c r="G2042" i="1"/>
  <c r="G2040" i="1"/>
  <c r="G2038" i="1"/>
  <c r="G2036" i="1"/>
  <c r="G2034" i="1"/>
  <c r="G2032" i="1"/>
  <c r="G2030" i="1"/>
  <c r="G2028" i="1"/>
  <c r="G2026" i="1"/>
  <c r="G2024" i="1"/>
  <c r="G2022" i="1"/>
  <c r="G2020" i="1"/>
  <c r="G2018" i="1"/>
  <c r="G2016" i="1"/>
  <c r="G2014" i="1"/>
  <c r="G2012" i="1"/>
  <c r="G2010" i="1"/>
  <c r="G2008" i="1"/>
  <c r="G2006" i="1"/>
  <c r="G2004" i="1"/>
  <c r="G2002" i="1"/>
  <c r="G2000" i="1"/>
  <c r="G1998" i="1"/>
  <c r="G1996" i="1"/>
  <c r="G1994" i="1"/>
  <c r="G1992" i="1"/>
  <c r="G1990" i="1"/>
  <c r="G1988" i="1"/>
  <c r="G1986" i="1"/>
  <c r="G1984" i="1"/>
  <c r="G1982" i="1"/>
  <c r="G1980" i="1"/>
  <c r="G1978" i="1"/>
  <c r="G1976" i="1"/>
  <c r="G1974" i="1"/>
  <c r="G1972" i="1"/>
  <c r="G1970" i="1"/>
  <c r="G1968" i="1"/>
  <c r="G1966" i="1"/>
  <c r="G1964" i="1"/>
  <c r="G1962" i="1"/>
  <c r="G1960" i="1"/>
  <c r="G1958" i="1"/>
  <c r="G1956" i="1"/>
  <c r="G1954" i="1"/>
  <c r="G1952" i="1"/>
  <c r="G1950" i="1"/>
  <c r="G1948" i="1"/>
  <c r="G1946" i="1"/>
  <c r="G1944" i="1"/>
  <c r="G1942" i="1"/>
  <c r="G1940" i="1"/>
  <c r="G1938" i="1"/>
  <c r="G1936" i="1"/>
  <c r="G1934" i="1"/>
  <c r="G1932" i="1"/>
  <c r="G1930" i="1"/>
  <c r="G1928" i="1"/>
  <c r="G1926" i="1"/>
  <c r="G1924" i="1"/>
  <c r="G1922" i="1"/>
  <c r="G1920" i="1"/>
  <c r="G1918" i="1"/>
  <c r="G1916" i="1"/>
  <c r="G1914" i="1"/>
  <c r="G1912" i="1"/>
  <c r="G1910" i="1"/>
  <c r="G1908" i="1"/>
  <c r="G1906" i="1"/>
  <c r="G1904" i="1"/>
  <c r="G1902" i="1"/>
  <c r="G1900" i="1"/>
  <c r="G1898" i="1"/>
  <c r="G1896" i="1"/>
  <c r="G1894" i="1"/>
  <c r="G1892" i="1"/>
  <c r="G1890" i="1"/>
  <c r="G1888" i="1"/>
  <c r="G1886" i="1"/>
  <c r="G1884" i="1"/>
  <c r="G1882" i="1"/>
  <c r="G1880" i="1"/>
  <c r="G1878" i="1"/>
  <c r="G1876" i="1"/>
  <c r="G1874" i="1"/>
  <c r="G1872" i="1"/>
  <c r="G1870" i="1"/>
  <c r="G1868" i="1"/>
  <c r="G1866" i="1"/>
  <c r="G1864" i="1"/>
  <c r="G1862" i="1"/>
  <c r="G1860" i="1"/>
  <c r="G1858" i="1"/>
  <c r="G1856" i="1"/>
  <c r="G1854" i="1"/>
  <c r="G1852" i="1"/>
  <c r="G1850" i="1"/>
  <c r="G1848" i="1"/>
  <c r="G1846" i="1"/>
  <c r="G1844" i="1"/>
  <c r="G1842" i="1"/>
  <c r="G1840" i="1"/>
  <c r="G1838" i="1"/>
  <c r="G1836" i="1"/>
  <c r="G1834" i="1"/>
  <c r="G1832" i="1"/>
  <c r="G1830" i="1"/>
  <c r="G1828" i="1"/>
  <c r="G1826" i="1"/>
  <c r="G1824" i="1"/>
  <c r="G1822" i="1"/>
  <c r="G1820" i="1"/>
  <c r="G1818" i="1"/>
  <c r="G1816" i="1"/>
  <c r="G1814" i="1"/>
  <c r="G1812" i="1"/>
  <c r="G1810" i="1"/>
  <c r="G1808" i="1"/>
  <c r="G1806" i="1"/>
  <c r="G1804" i="1"/>
  <c r="G1802" i="1"/>
  <c r="G1800" i="1"/>
  <c r="G1798" i="1"/>
  <c r="G1796" i="1"/>
  <c r="G1794" i="1"/>
  <c r="G1792" i="1"/>
  <c r="G1790" i="1"/>
  <c r="G1788" i="1"/>
  <c r="G1786" i="1"/>
  <c r="G1784" i="1"/>
  <c r="G1782" i="1"/>
  <c r="G1780" i="1"/>
  <c r="G1778" i="1"/>
  <c r="G1776" i="1"/>
  <c r="G1774" i="1"/>
  <c r="G1772" i="1"/>
  <c r="G1770" i="1"/>
  <c r="G1768" i="1"/>
  <c r="G1766" i="1"/>
  <c r="G1764" i="1"/>
  <c r="G1762" i="1"/>
  <c r="G1760" i="1"/>
  <c r="G1758" i="1"/>
  <c r="G1756" i="1"/>
  <c r="G1754" i="1"/>
  <c r="G1752" i="1"/>
  <c r="G1750" i="1"/>
  <c r="G1748" i="1"/>
  <c r="G1746" i="1"/>
  <c r="G1744" i="1"/>
  <c r="G1742" i="1"/>
  <c r="G1740" i="1"/>
  <c r="G1738" i="1"/>
  <c r="G1736" i="1"/>
  <c r="G1734" i="1"/>
  <c r="G1732" i="1"/>
  <c r="G1730" i="1"/>
  <c r="G1728" i="1"/>
  <c r="G1726" i="1"/>
  <c r="G1724" i="1"/>
  <c r="G1722" i="1"/>
  <c r="G1720" i="1"/>
  <c r="G1718" i="1"/>
  <c r="G1716" i="1"/>
  <c r="G1714" i="1"/>
  <c r="G1712" i="1"/>
  <c r="G1710" i="1"/>
  <c r="G1708" i="1"/>
  <c r="G1706" i="1"/>
  <c r="G1704" i="1"/>
  <c r="G1702" i="1"/>
  <c r="G1700" i="1"/>
  <c r="G1698" i="1"/>
  <c r="G1696" i="1"/>
  <c r="G1694" i="1"/>
  <c r="G1692" i="1"/>
  <c r="G1690" i="1"/>
  <c r="G1688" i="1"/>
  <c r="G1686" i="1"/>
  <c r="G1684" i="1"/>
  <c r="G1682" i="1"/>
  <c r="G1680" i="1"/>
  <c r="G1678" i="1"/>
  <c r="G1676" i="1"/>
  <c r="G1674" i="1"/>
  <c r="G1672" i="1"/>
  <c r="G1670" i="1"/>
  <c r="G1668" i="1"/>
  <c r="G1666" i="1"/>
  <c r="G1664" i="1"/>
  <c r="G1662" i="1"/>
  <c r="G1660" i="1"/>
  <c r="G1658" i="1"/>
  <c r="G1656" i="1"/>
  <c r="G1654" i="1"/>
  <c r="G1652" i="1"/>
  <c r="G1650" i="1"/>
  <c r="G1648" i="1"/>
  <c r="G1646" i="1"/>
  <c r="G1644" i="1"/>
  <c r="G1642" i="1"/>
  <c r="G1640" i="1"/>
  <c r="G1638" i="1"/>
  <c r="G1636" i="1"/>
  <c r="G1634" i="1"/>
  <c r="G1632" i="1"/>
  <c r="G1630" i="1"/>
  <c r="G1628" i="1"/>
  <c r="G1626" i="1"/>
  <c r="G1624" i="1"/>
  <c r="G1622" i="1"/>
  <c r="G1620" i="1"/>
  <c r="G1618" i="1"/>
  <c r="G1616" i="1"/>
  <c r="G1614" i="1"/>
  <c r="G1612" i="1"/>
  <c r="G1610" i="1"/>
  <c r="G1608" i="1"/>
  <c r="G1606" i="1"/>
  <c r="G1604" i="1"/>
  <c r="G1602" i="1"/>
  <c r="G1600" i="1"/>
  <c r="G1598" i="1"/>
  <c r="G1596" i="1"/>
  <c r="G1594" i="1"/>
  <c r="G1592" i="1"/>
  <c r="G1590" i="1"/>
  <c r="G1588" i="1"/>
  <c r="G1586" i="1"/>
  <c r="G1584" i="1"/>
  <c r="G1582" i="1"/>
  <c r="G1580" i="1"/>
  <c r="G1578" i="1"/>
  <c r="G1576" i="1"/>
  <c r="G1574" i="1"/>
  <c r="G1572" i="1"/>
  <c r="G1570" i="1"/>
  <c r="G1568" i="1"/>
  <c r="G1566" i="1"/>
  <c r="G1564" i="1"/>
  <c r="G1562" i="1"/>
  <c r="G1560" i="1"/>
  <c r="G1558" i="1"/>
  <c r="G1556" i="1"/>
  <c r="G1554" i="1"/>
  <c r="G1552" i="1"/>
  <c r="G1550" i="1"/>
  <c r="G1548" i="1"/>
  <c r="G1546" i="1"/>
  <c r="G1544" i="1"/>
  <c r="G1542" i="1"/>
  <c r="G1540" i="1"/>
  <c r="G1538" i="1"/>
  <c r="G1536" i="1"/>
  <c r="G1534" i="1"/>
  <c r="G1532" i="1"/>
  <c r="G1530" i="1"/>
  <c r="G1528" i="1"/>
  <c r="G1526" i="1"/>
  <c r="G1524" i="1"/>
  <c r="G1522" i="1"/>
  <c r="G1520" i="1"/>
  <c r="G1518" i="1"/>
  <c r="G1516" i="1"/>
  <c r="G1514" i="1"/>
  <c r="G1512" i="1"/>
  <c r="G1510" i="1"/>
  <c r="G1508" i="1"/>
  <c r="G1506" i="1"/>
  <c r="G1504" i="1"/>
  <c r="G1502" i="1"/>
  <c r="G1500" i="1"/>
  <c r="G1498" i="1"/>
  <c r="G1496" i="1"/>
  <c r="G1494" i="1"/>
  <c r="G1492" i="1"/>
  <c r="G1490" i="1"/>
  <c r="G1488" i="1"/>
  <c r="G1486" i="1"/>
  <c r="G1484" i="1"/>
  <c r="G1482" i="1"/>
  <c r="G1480" i="1"/>
  <c r="G1478" i="1"/>
  <c r="G1476" i="1"/>
  <c r="G1474" i="1"/>
  <c r="G1472" i="1"/>
  <c r="G1470" i="1"/>
  <c r="G1468" i="1"/>
  <c r="G1466" i="1"/>
  <c r="G1464" i="1"/>
  <c r="G1462" i="1"/>
  <c r="G1460" i="1"/>
  <c r="G1458" i="1"/>
  <c r="G1456" i="1"/>
  <c r="G1454" i="1"/>
  <c r="G1452" i="1"/>
  <c r="G1450" i="1"/>
  <c r="G1448" i="1"/>
  <c r="G1446" i="1"/>
  <c r="G1444" i="1"/>
  <c r="G1442" i="1"/>
  <c r="G1440" i="1"/>
  <c r="G1438" i="1"/>
  <c r="G1436" i="1"/>
  <c r="G1434" i="1"/>
  <c r="G1432" i="1"/>
  <c r="G1430" i="1"/>
  <c r="G1428" i="1"/>
  <c r="G1426" i="1"/>
  <c r="G1424" i="1"/>
  <c r="G1422" i="1"/>
  <c r="G1420" i="1"/>
  <c r="G1418" i="1"/>
  <c r="G1416" i="1"/>
  <c r="G1414" i="1"/>
  <c r="G1412" i="1"/>
  <c r="G1410" i="1"/>
  <c r="G1408" i="1"/>
  <c r="G1406" i="1"/>
  <c r="G1404" i="1"/>
  <c r="G1402" i="1"/>
  <c r="G1400" i="1"/>
  <c r="G1398" i="1"/>
  <c r="G1396" i="1"/>
  <c r="G1394" i="1"/>
  <c r="G1392" i="1"/>
  <c r="G1390" i="1"/>
  <c r="G1388" i="1"/>
  <c r="G1386" i="1"/>
  <c r="G1384" i="1"/>
  <c r="G1382" i="1"/>
  <c r="G1380" i="1"/>
  <c r="G1378" i="1"/>
  <c r="G1376" i="1"/>
  <c r="G1374" i="1"/>
  <c r="G1372" i="1"/>
  <c r="G1370" i="1"/>
  <c r="G1368" i="1"/>
  <c r="G1366" i="1"/>
  <c r="G1364" i="1"/>
  <c r="G1362" i="1"/>
  <c r="G1360" i="1"/>
  <c r="G1358" i="1"/>
  <c r="G1356" i="1"/>
  <c r="G1354" i="1"/>
  <c r="G1352" i="1"/>
  <c r="G1350" i="1"/>
  <c r="G1348" i="1"/>
  <c r="G1346" i="1"/>
  <c r="G1344" i="1"/>
  <c r="G1342" i="1"/>
  <c r="G1340" i="1"/>
  <c r="G1338" i="1"/>
  <c r="G1336" i="1"/>
  <c r="G1334" i="1"/>
  <c r="G1332" i="1"/>
  <c r="G1330" i="1"/>
  <c r="G1328" i="1"/>
  <c r="G1326" i="1"/>
  <c r="G1324" i="1"/>
  <c r="G1322" i="1"/>
  <c r="G1320" i="1"/>
  <c r="G1318" i="1"/>
  <c r="G1316" i="1"/>
  <c r="G1314" i="1"/>
  <c r="G1312" i="1"/>
  <c r="G1310" i="1"/>
  <c r="G1308" i="1"/>
  <c r="G1306" i="1"/>
  <c r="G1304" i="1"/>
  <c r="G1302" i="1"/>
  <c r="G1300" i="1"/>
  <c r="G1298" i="1"/>
  <c r="G1296" i="1"/>
  <c r="G1294" i="1"/>
  <c r="G1292" i="1"/>
  <c r="G1290" i="1"/>
  <c r="G1288" i="1"/>
  <c r="G1286" i="1"/>
  <c r="G1284" i="1"/>
  <c r="G1282" i="1"/>
  <c r="G1280" i="1"/>
  <c r="G1278" i="1"/>
  <c r="G1276" i="1"/>
  <c r="G1274" i="1"/>
  <c r="G1272" i="1"/>
  <c r="G1270" i="1"/>
  <c r="G1268" i="1"/>
  <c r="G1266" i="1"/>
  <c r="G1264" i="1"/>
  <c r="G1262" i="1"/>
  <c r="G1260" i="1"/>
  <c r="G1258" i="1"/>
  <c r="G1256" i="1"/>
  <c r="G1254" i="1"/>
  <c r="G1252" i="1"/>
  <c r="G1250" i="1"/>
  <c r="G1248" i="1"/>
  <c r="G1246" i="1"/>
  <c r="G1244" i="1"/>
  <c r="G1242" i="1"/>
  <c r="G1240" i="1"/>
  <c r="G1238" i="1"/>
  <c r="G1236" i="1"/>
  <c r="G1234" i="1"/>
  <c r="G1232" i="1"/>
  <c r="G1230" i="1"/>
  <c r="G1228" i="1"/>
  <c r="G1226" i="1"/>
  <c r="G1224" i="1"/>
  <c r="G1222" i="1"/>
  <c r="G1220" i="1"/>
  <c r="G1218" i="1"/>
  <c r="G1216" i="1"/>
  <c r="G1214" i="1"/>
  <c r="G1212" i="1"/>
  <c r="G1210" i="1"/>
  <c r="G1208" i="1"/>
  <c r="G1206" i="1"/>
  <c r="G1204" i="1"/>
  <c r="G1202" i="1"/>
  <c r="G1200" i="1"/>
  <c r="G1198" i="1"/>
  <c r="G1196" i="1"/>
  <c r="G1194" i="1"/>
  <c r="G1192" i="1"/>
  <c r="G1190" i="1"/>
  <c r="G1188" i="1"/>
  <c r="G1186" i="1"/>
  <c r="G1184" i="1"/>
  <c r="G1182" i="1"/>
  <c r="G1180" i="1"/>
  <c r="G1178" i="1"/>
  <c r="G1176" i="1"/>
  <c r="G1174" i="1"/>
  <c r="G1172" i="1"/>
  <c r="G1170" i="1"/>
  <c r="G1168" i="1"/>
  <c r="G1166" i="1"/>
  <c r="G1164" i="1"/>
  <c r="G1162" i="1"/>
  <c r="G1160" i="1"/>
  <c r="G1158" i="1"/>
  <c r="G1156" i="1"/>
  <c r="G1154" i="1"/>
  <c r="G1152" i="1"/>
  <c r="G1150" i="1"/>
  <c r="G1148" i="1"/>
  <c r="G1146" i="1"/>
  <c r="G1144" i="1"/>
  <c r="G1142" i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<sst xmlns="http://schemas.openxmlformats.org/spreadsheetml/2006/main" count="13160" uniqueCount="6371">
  <si>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</si>
  <si>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</si>
  <si>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</si>
  <si>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</si>
  <si>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ΔΙΟΙΚΗΤΙΚΟΥ - ΛΟΓΙΣΤΙΚΟΥ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</si>
  <si>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</si>
  <si>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</si>
  <si>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</si>
  <si>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</si>
  <si>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</si>
  <si>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</si>
  <si>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</si>
  <si>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</si>
  <si>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ΒΑΓΓΕΛΑΚΟΥ</t>
  </si>
  <si>
    <t>ΦΩΤΕΙΝΗ</t>
  </si>
  <si>
    <t>ΝΙΚΟΛΑΟΣ</t>
  </si>
  <si>
    <t>ΑΕ677412</t>
  </si>
  <si>
    <t>1094,5</t>
  </si>
  <si>
    <t>1902,5</t>
  </si>
  <si>
    <t>ΝΟΥΛΙΟΥ</t>
  </si>
  <si>
    <t>ΑΙΚΑΤΕΡΙΝΗ</t>
  </si>
  <si>
    <t>ΠΑΝΑΓΙΩΤΗΣ</t>
  </si>
  <si>
    <t>ΑΝ187944</t>
  </si>
  <si>
    <t>ΑΡΧΙΤΕΚΤΟΝΙΔΗΣ</t>
  </si>
  <si>
    <t>ΧΑΡΑΛΑΜΠΟΣ</t>
  </si>
  <si>
    <t>ΑΚ327017</t>
  </si>
  <si>
    <t>703-702</t>
  </si>
  <si>
    <t>ΤΣΙΝΟΓΛΟΥ</t>
  </si>
  <si>
    <t>ΣΟΦΙΑ</t>
  </si>
  <si>
    <t>ΘΕΟΧΑΡΗΣ</t>
  </si>
  <si>
    <t>ΑΙ726477</t>
  </si>
  <si>
    <t>ΤΑΣΙΔΟΥ</t>
  </si>
  <si>
    <t>ΧΡΙΣΤΙΝΑ</t>
  </si>
  <si>
    <t>ΚΥΡΙΑΚΟΣ</t>
  </si>
  <si>
    <t>ΑΚ324424</t>
  </si>
  <si>
    <t>ΕΜΜΑΝΟΥΗΛΙΔΟΥ</t>
  </si>
  <si>
    <t>ΕΛΙΣΣΑΒΕΤ</t>
  </si>
  <si>
    <t>ΕΜΜΑΝΟΥΗΛ</t>
  </si>
  <si>
    <t>ΑΜ259915</t>
  </si>
  <si>
    <t>ΚΑΠΕΤΑΝΙΟΥ</t>
  </si>
  <si>
    <t>ΕΥΑΓΓΕΛΙΑ</t>
  </si>
  <si>
    <t>ΑΘΑΝΑΣΙΟΣ</t>
  </si>
  <si>
    <t>Π417718</t>
  </si>
  <si>
    <t>1075,8</t>
  </si>
  <si>
    <t>1863,8</t>
  </si>
  <si>
    <t>ΚΑΡΑΓΙΑΝΝΗ</t>
  </si>
  <si>
    <t>ΕΛΕΝΗ</t>
  </si>
  <si>
    <t>ΑΠΟΣΤΟΛΟΣ</t>
  </si>
  <si>
    <t>ΑΚ967275</t>
  </si>
  <si>
    <t>1054,9</t>
  </si>
  <si>
    <t>1862,9</t>
  </si>
  <si>
    <t>ΤΑΨΗ</t>
  </si>
  <si>
    <t>ΚΩΝΣΤΑΝΤΙΑ</t>
  </si>
  <si>
    <t>ΓΕΩΡΓΙΟΣ</t>
  </si>
  <si>
    <t>ΑΒ370038</t>
  </si>
  <si>
    <t>1862,5</t>
  </si>
  <si>
    <t>ΠΟΥΛΕΤΙΔΟΥ</t>
  </si>
  <si>
    <t>ΣΩΤΗΡΙΑ</t>
  </si>
  <si>
    <t>ΘΕΟΔΩΡΟΣ</t>
  </si>
  <si>
    <t>ΑΙ901604</t>
  </si>
  <si>
    <t>ΤΟΜΠΟΥΛΗ</t>
  </si>
  <si>
    <t>ΕΥΔΟΞΙΑ</t>
  </si>
  <si>
    <t>ΑΝΑΣΤΑΣΙΟΣ</t>
  </si>
  <si>
    <t>ΑΖ183776</t>
  </si>
  <si>
    <t>1091,2</t>
  </si>
  <si>
    <t>1859,2</t>
  </si>
  <si>
    <t>ΚΟΝΙΑΡΗ</t>
  </si>
  <si>
    <t>ΑΝΑΣΤΑΣΙΑ</t>
  </si>
  <si>
    <t>ΑΝΔΡΕΑΣ</t>
  </si>
  <si>
    <t>ΑΖ834243</t>
  </si>
  <si>
    <t>702-703</t>
  </si>
  <si>
    <t>ΣΤΑΜΚΟΥΛΗΣ</t>
  </si>
  <si>
    <t>ΑΜ854129</t>
  </si>
  <si>
    <t>1050,5</t>
  </si>
  <si>
    <t>1858,5</t>
  </si>
  <si>
    <t>ΜΠΕΛΤΣΟΣ</t>
  </si>
  <si>
    <t>ΔΗΜΗΤΡΙΟΣ</t>
  </si>
  <si>
    <t>ΑΙ702214</t>
  </si>
  <si>
    <t>ΔΡΟΥΖΑ</t>
  </si>
  <si>
    <t>ΣΠΥΡΙΔΩΝ</t>
  </si>
  <si>
    <t>Χ898340</t>
  </si>
  <si>
    <t>1048,3</t>
  </si>
  <si>
    <t>1856,3</t>
  </si>
  <si>
    <t>ΜΕΛΙΑΝΙΔΟΥ</t>
  </si>
  <si>
    <t>ΛΕΥΚΙΠΠΑ</t>
  </si>
  <si>
    <t>ΑΗ362077</t>
  </si>
  <si>
    <t>ΔΡΟΣΟΥ</t>
  </si>
  <si>
    <t>ΑΘΑΝΑΣΙΑ</t>
  </si>
  <si>
    <t>ΑΡΙΣΤΕΙΔΗΣ</t>
  </si>
  <si>
    <t>ΑΜ067184</t>
  </si>
  <si>
    <t>ΠΡΙΝΤΖΙΟΥ</t>
  </si>
  <si>
    <t>ΚΩΝΣΤΑΝΤΙΝΟΣ</t>
  </si>
  <si>
    <t>ΑΙ262524</t>
  </si>
  <si>
    <t>1084,6</t>
  </si>
  <si>
    <t>1852,6</t>
  </si>
  <si>
    <t>ΖΗΚΟΥ</t>
  </si>
  <si>
    <t>ΒΙΚΤΩΡΙΑ</t>
  </si>
  <si>
    <t>ΑΖ743026</t>
  </si>
  <si>
    <t>ΗΛΙΑΣΚΟΥ</t>
  </si>
  <si>
    <t>ΒΑΣΙΛΕΙΟΣ</t>
  </si>
  <si>
    <t>ΑΚ253668</t>
  </si>
  <si>
    <t>1062,6</t>
  </si>
  <si>
    <t>1850,6</t>
  </si>
  <si>
    <t>ΠΕΤΡΙΔΟΥ</t>
  </si>
  <si>
    <t>ΖΑΧΑΡΟΥΛΑ</t>
  </si>
  <si>
    <t>ΧΡΗΣΤΟΣ</t>
  </si>
  <si>
    <t>ΑΒ715437</t>
  </si>
  <si>
    <t>1848,5</t>
  </si>
  <si>
    <t>ΠΕΝΤΟΒΟΛΟΥ</t>
  </si>
  <si>
    <t>ΙΩΑΝΝΗΣ</t>
  </si>
  <si>
    <t>Χ767355</t>
  </si>
  <si>
    <t>ΒΕΡΒΕΡΗ</t>
  </si>
  <si>
    <t>ΙΩΑΝΝΑ</t>
  </si>
  <si>
    <t>ΜΙΧΑΗΛ</t>
  </si>
  <si>
    <t>ΑΖ331177</t>
  </si>
  <si>
    <t>1843,8</t>
  </si>
  <si>
    <t>ΣΕΡΕΤΗ</t>
  </si>
  <si>
    <t>ΠΕΡΣΕΦ</t>
  </si>
  <si>
    <t>ΑΒ146130</t>
  </si>
  <si>
    <t>ΠΑΠΑΓΙΑΝΝΗ</t>
  </si>
  <si>
    <t>ΕΛΕΟΝΩΡΑ</t>
  </si>
  <si>
    <t>ΑΝ342154</t>
  </si>
  <si>
    <t>1842,9</t>
  </si>
  <si>
    <t>ΜΑΡΤΑΣΙΔΟΥ</t>
  </si>
  <si>
    <t>ΑΣΗΜΟΥΛΑ</t>
  </si>
  <si>
    <t>ΒΛΑΔΙΜΗΡΟΣ</t>
  </si>
  <si>
    <t>ΑΕ196793</t>
  </si>
  <si>
    <t>1842,3</t>
  </si>
  <si>
    <t>ΠΕΤΡΙΔΗΣ</t>
  </si>
  <si>
    <t>ΣΤΥΛΙΑΝΟΣ</t>
  </si>
  <si>
    <t>ΑΒ159783</t>
  </si>
  <si>
    <t>1053,8</t>
  </si>
  <si>
    <t>1841,8</t>
  </si>
  <si>
    <t>ΜΠΕΛΛΗ</t>
  </si>
  <si>
    <t>ΚΩΝΣΤΑΝΤΙΝΑ</t>
  </si>
  <si>
    <t>ΑΛΕΞΑΝΔΡΟΣ</t>
  </si>
  <si>
    <t>ΑΝ182018</t>
  </si>
  <si>
    <t>1072,5</t>
  </si>
  <si>
    <t>1840,5</t>
  </si>
  <si>
    <t>ΖΑΡΑ</t>
  </si>
  <si>
    <t>ΒΑΣΙΛΙΚΗ</t>
  </si>
  <si>
    <t>Φ158438</t>
  </si>
  <si>
    <t>1061,5</t>
  </si>
  <si>
    <t>1839,5</t>
  </si>
  <si>
    <t>ΠΑΠΑΔΟΠΟΥΛΟΣ</t>
  </si>
  <si>
    <t>ΑΖ702594</t>
  </si>
  <si>
    <t>ΒΑΣΙΛΕΙΟΥ</t>
  </si>
  <si>
    <t>ΑΗ396453</t>
  </si>
  <si>
    <t>ΜΑΥΡΟΠΟΥΛΟΥ</t>
  </si>
  <si>
    <t>Χ845845</t>
  </si>
  <si>
    <t>ΜΟΚΑ</t>
  </si>
  <si>
    <t>ΑΖ761788</t>
  </si>
  <si>
    <t>ΜΑΣΤΟΡΗ</t>
  </si>
  <si>
    <t>ΑΖ663483</t>
  </si>
  <si>
    <t>ΠΑΝΙΩΡΑ</t>
  </si>
  <si>
    <t>ΚΥΡΙΑΚΗ</t>
  </si>
  <si>
    <t>ΑΣΤΕΡΙΟΣ</t>
  </si>
  <si>
    <t>Χ242229</t>
  </si>
  <si>
    <t>1019,7</t>
  </si>
  <si>
    <t>1837,7</t>
  </si>
  <si>
    <t>ΤΟΥΡΣΙΔΟΥ</t>
  </si>
  <si>
    <t>ΑΙ196736</t>
  </si>
  <si>
    <t>ΜΙΧΟΣ</t>
  </si>
  <si>
    <t>Σ890375</t>
  </si>
  <si>
    <t>1832,5</t>
  </si>
  <si>
    <t>ΚΥΠΤΗ</t>
  </si>
  <si>
    <t>ΚΑΛΛΙΟΠΗ</t>
  </si>
  <si>
    <t>ΖΗΣΗΣ</t>
  </si>
  <si>
    <t>ΑΖ800144</t>
  </si>
  <si>
    <t>ΧΙΝΤΖΑ</t>
  </si>
  <si>
    <t>ΜΑΡΙΝΟΣ</t>
  </si>
  <si>
    <t>ΑΙ712663</t>
  </si>
  <si>
    <t>ΒΑΜΒΑΚΑ</t>
  </si>
  <si>
    <t>ΑΕ658909</t>
  </si>
  <si>
    <t>1060,4</t>
  </si>
  <si>
    <t>1828,4</t>
  </si>
  <si>
    <t>ΑΙ376421</t>
  </si>
  <si>
    <t>1081,3</t>
  </si>
  <si>
    <t>1828,3</t>
  </si>
  <si>
    <t>ΜΟΥΤΣΟΜΠΑΜΠΑ</t>
  </si>
  <si>
    <t>ΕΛΕΝΑ</t>
  </si>
  <si>
    <t>ΑΙ346402</t>
  </si>
  <si>
    <t>1827,7</t>
  </si>
  <si>
    <t>703-702-701</t>
  </si>
  <si>
    <t>ΠΙΤΣΙΚΑΛΗ</t>
  </si>
  <si>
    <t>ΕΙΡΗΝΗ</t>
  </si>
  <si>
    <t>Ρ088532</t>
  </si>
  <si>
    <t>1028,5</t>
  </si>
  <si>
    <t>1826,5</t>
  </si>
  <si>
    <t>ΚΕΣΟΥΛΗ</t>
  </si>
  <si>
    <t>ΑΖ346544</t>
  </si>
  <si>
    <t>1058,2</t>
  </si>
  <si>
    <t>1826,2</t>
  </si>
  <si>
    <t>ΒΑΛΤΑΤΖΗ</t>
  </si>
  <si>
    <t>ΕΛΕΥΘΕΡΙΑ</t>
  </si>
  <si>
    <t>Ρ344440</t>
  </si>
  <si>
    <t>ΠΟΥΡΝΑΡΑ</t>
  </si>
  <si>
    <t>ΚΡΥΣΤΑΛΛΩ</t>
  </si>
  <si>
    <t>Σ923209</t>
  </si>
  <si>
    <t>1822,9</t>
  </si>
  <si>
    <t>ΔΗΜΟΠΟΥΛΟΥ</t>
  </si>
  <si>
    <t>ΑΚ868431</t>
  </si>
  <si>
    <t>984,5</t>
  </si>
  <si>
    <t>1822,5</t>
  </si>
  <si>
    <t>ΣΤΑΘΑΚΗ</t>
  </si>
  <si>
    <t>ΑΙ721432</t>
  </si>
  <si>
    <t>ΜΑΡΟΥΛΗΣ</t>
  </si>
  <si>
    <t>ΕΥΣΤΑΘΙΟΣ</t>
  </si>
  <si>
    <t>Λ875507</t>
  </si>
  <si>
    <t>1083,5</t>
  </si>
  <si>
    <t>1821,5</t>
  </si>
  <si>
    <t>ΤΣΙΡΩΝΗ</t>
  </si>
  <si>
    <t>ΑΝΔΡΟΝΙΚΗ</t>
  </si>
  <si>
    <t>ΑΗ673554</t>
  </si>
  <si>
    <t>1819,5</t>
  </si>
  <si>
    <t>ΓΕΩΡΓΙΑΚΑΚΗ</t>
  </si>
  <si>
    <t>ΑΚ481302</t>
  </si>
  <si>
    <t>951,5</t>
  </si>
  <si>
    <t>ΠΕΔΗ</t>
  </si>
  <si>
    <t>ΔΗΜΗΤΡΑ</t>
  </si>
  <si>
    <t>ΑΙ714070</t>
  </si>
  <si>
    <t>1816,3</t>
  </si>
  <si>
    <t>ΑΡΒΑΝΙΤΗ</t>
  </si>
  <si>
    <t>ΝΙΚΟΛΕΤΤΑ</t>
  </si>
  <si>
    <t>Τ813099</t>
  </si>
  <si>
    <t>ΜΙΧΑΗΛΙΔΟΥ</t>
  </si>
  <si>
    <t>ΓΕΩΡΓΙΑ</t>
  </si>
  <si>
    <t>ΑΝΤΩΝΙΟΣ</t>
  </si>
  <si>
    <t>ΑΕ763585</t>
  </si>
  <si>
    <t>ΜΠΙΤΖΙΛΗ</t>
  </si>
  <si>
    <t>ΒΑΡΒΑΡΑ</t>
  </si>
  <si>
    <t>ΑΖ157539</t>
  </si>
  <si>
    <t>1076,9</t>
  </si>
  <si>
    <t>1814,9</t>
  </si>
  <si>
    <t>ΜΑΝΑΓΑ</t>
  </si>
  <si>
    <t>ΔΗΜΗΤΡΙΟΣ ΑΛΕΞΙΟΣ</t>
  </si>
  <si>
    <t>ΑΚ891514</t>
  </si>
  <si>
    <t>1006,5</t>
  </si>
  <si>
    <t>1814,5</t>
  </si>
  <si>
    <t>ΜΠΑΙΡΑΜΟΓΛΟΥ</t>
  </si>
  <si>
    <t>Π825871</t>
  </si>
  <si>
    <t>ΑΧΤΑΡΙΔΗΣ</t>
  </si>
  <si>
    <t>ΑΕ684978</t>
  </si>
  <si>
    <t>ΜΠΑΖΙΡΓΙΑΝΝΗ</t>
  </si>
  <si>
    <t>ΑΗ809599</t>
  </si>
  <si>
    <t>1026,3</t>
  </si>
  <si>
    <t>1814,3</t>
  </si>
  <si>
    <t>ΚΑΡΑΓΚΙΟΖΗ</t>
  </si>
  <si>
    <t>ΔΕΣΠΟΙΝΑ</t>
  </si>
  <si>
    <t>ΑΚ928546</t>
  </si>
  <si>
    <t>ΜΠΑΜΠΑΣ</t>
  </si>
  <si>
    <t>ΛΑΖΑΡΟΣ</t>
  </si>
  <si>
    <t>ΑΖ685680</t>
  </si>
  <si>
    <t>ΜΑΛΑΜΙΔΟΥ</t>
  </si>
  <si>
    <t>ΚΩΝΣΤΑΝΤΙΝΙΑ</t>
  </si>
  <si>
    <t>ΠΡΟΔΡΟΜΟΣ</t>
  </si>
  <si>
    <t>ΑΒ458859</t>
  </si>
  <si>
    <t>ΜΑΤΘΑΙΟΥ</t>
  </si>
  <si>
    <t>ΠΑΡΑΣΚΕΥΗ</t>
  </si>
  <si>
    <t>ΑΚ945500</t>
  </si>
  <si>
    <t>ΚΑΡΛΗ</t>
  </si>
  <si>
    <t>ΑΕ670602</t>
  </si>
  <si>
    <t>ΦΙΝΤΙΚΙΔΟΥ</t>
  </si>
  <si>
    <t>ΓΑΒΡΙΗΛ</t>
  </si>
  <si>
    <t>ΑΕ196407</t>
  </si>
  <si>
    <t>ΜΕΛΙΟΠΟΥΛΟΥ</t>
  </si>
  <si>
    <t>Ξ880827</t>
  </si>
  <si>
    <t>ΚΟΤΣΑΜΠΑΣΗ</t>
  </si>
  <si>
    <t>ΣΤΕΡΓΙΑΝΗ</t>
  </si>
  <si>
    <t>Φ142027</t>
  </si>
  <si>
    <t>1004,3</t>
  </si>
  <si>
    <t>1812,3</t>
  </si>
  <si>
    <t>ΑΒΙΖΙΩΤΗ</t>
  </si>
  <si>
    <t>ΜΑΡΙΑ</t>
  </si>
  <si>
    <t>ΑΚ368567</t>
  </si>
  <si>
    <t>1810,5</t>
  </si>
  <si>
    <t>ΚΑΛΕΜΟΣ</t>
  </si>
  <si>
    <t>ΑΙ715771</t>
  </si>
  <si>
    <t>ΒΛΑΧΟΥ</t>
  </si>
  <si>
    <t>ΕΛΙΣΑΒΕΤ</t>
  </si>
  <si>
    <t>ΑΖ327994</t>
  </si>
  <si>
    <t>1039,5</t>
  </si>
  <si>
    <t>1807,5</t>
  </si>
  <si>
    <t>ΧΑΤΖΗΠΑΡΑΔΕΙΣΗ</t>
  </si>
  <si>
    <t>Π409105</t>
  </si>
  <si>
    <t>ΘΕΟΔΩΡΑ</t>
  </si>
  <si>
    <t>Χ816772</t>
  </si>
  <si>
    <t>1804,5</t>
  </si>
  <si>
    <t>ΚΑΠΕΤΑΝΙΔΟΥ</t>
  </si>
  <si>
    <t>ΜΑΡΙΑΝΑ</t>
  </si>
  <si>
    <t>ΑΚ921026</t>
  </si>
  <si>
    <t>1803,8</t>
  </si>
  <si>
    <t>ΚΑΚΑΡΙΚΟΥ</t>
  </si>
  <si>
    <t>ΑΝΝΑ</t>
  </si>
  <si>
    <t>ΑΚ312002</t>
  </si>
  <si>
    <t>1803,5</t>
  </si>
  <si>
    <t>ΣΙΔΗΡΟΠΟΥΛΟΥ</t>
  </si>
  <si>
    <t>ΘΕΟΔΟΣΙΟΣ</t>
  </si>
  <si>
    <t>ΑΖ660327</t>
  </si>
  <si>
    <t>1035,1</t>
  </si>
  <si>
    <t>1803,1</t>
  </si>
  <si>
    <t xml:space="preserve">ΜΠΑΡΩ </t>
  </si>
  <si>
    <t>ΖΩΗ</t>
  </si>
  <si>
    <t>ΣΤΕΡΓΙΟΣ</t>
  </si>
  <si>
    <t>ΑΚ899033</t>
  </si>
  <si>
    <t>1064,8</t>
  </si>
  <si>
    <t>1802,8</t>
  </si>
  <si>
    <t>ΤΣΙΡΙΔΟΥ</t>
  </si>
  <si>
    <t>ΑΝΑΣΤΑΣΙΑ - ΙΝΩ</t>
  </si>
  <si>
    <t>ΑΒ860095</t>
  </si>
  <si>
    <t>1802,5</t>
  </si>
  <si>
    <t>ΝΤΟΥΠΤΣΟΓΛΟΥ</t>
  </si>
  <si>
    <t>ΑΡΓΥΡΩ ΑΛΚΥΟΝΗ</t>
  </si>
  <si>
    <t>Π791826</t>
  </si>
  <si>
    <t>ΣΟΜΠΟΛ</t>
  </si>
  <si>
    <t>ΝΑΤΑΛΙΑ</t>
  </si>
  <si>
    <t>ΜΠΟΡΙΣ</t>
  </si>
  <si>
    <t>ΑΕ699191</t>
  </si>
  <si>
    <t>920,7</t>
  </si>
  <si>
    <t>1798,7</t>
  </si>
  <si>
    <t>703-702-705</t>
  </si>
  <si>
    <t>ΔΗΜΟΥ</t>
  </si>
  <si>
    <t>ΕΛΕΥΘΕΡΙΟΣ</t>
  </si>
  <si>
    <t>ΑΗ167306</t>
  </si>
  <si>
    <t>ΠΑΠΑΚΥΡΓΙΑΚΟΥ</t>
  </si>
  <si>
    <t>ΕΥΓΕΝΙΑ</t>
  </si>
  <si>
    <t>ΣΤΑΜΑΤΙΟΣ</t>
  </si>
  <si>
    <t>ΑΑ249819</t>
  </si>
  <si>
    <t>1796,5</t>
  </si>
  <si>
    <t>ΚΑΡΑΓΙΑΝΝΙΔΟΥ</t>
  </si>
  <si>
    <t>ΑΚ328645</t>
  </si>
  <si>
    <t>958,1</t>
  </si>
  <si>
    <t>1796,1</t>
  </si>
  <si>
    <t>ΤΣΙΜΠΗ</t>
  </si>
  <si>
    <t>ΑΗ668747</t>
  </si>
  <si>
    <t>ΚΑΛΟΓΙΑΝΝΗ</t>
  </si>
  <si>
    <t>ΑΑ428945</t>
  </si>
  <si>
    <t>1795,5</t>
  </si>
  <si>
    <t>ΠΑΥΛΙΔΟΥ</t>
  </si>
  <si>
    <t>ΧΡΥΣΑΝΘΟΣ</t>
  </si>
  <si>
    <t>ΑΚ868057</t>
  </si>
  <si>
    <t>ΠΕΚΡΙΔΟΥ</t>
  </si>
  <si>
    <t>ΑΒ436984</t>
  </si>
  <si>
    <t>ΜΙΛΚΙΔΟΥ</t>
  </si>
  <si>
    <t>ΣΤΥΛΙΑΝΗ</t>
  </si>
  <si>
    <t>ΑΗ664945</t>
  </si>
  <si>
    <t>1794,3</t>
  </si>
  <si>
    <t>ΚΟΛΩΝΙΑΡΗ</t>
  </si>
  <si>
    <t>ΑΒ360746</t>
  </si>
  <si>
    <t>ΤΕΡΖΗΣ</t>
  </si>
  <si>
    <t>ΣΩΤΗΡΙΟΣ</t>
  </si>
  <si>
    <t>ΑΝ211171</t>
  </si>
  <si>
    <t>ΣΤΑΥΡΑΚΗ</t>
  </si>
  <si>
    <t>ΑΒ900495</t>
  </si>
  <si>
    <t>ΧΑΡΙΖΑΝΟΠΟΥΛΟΥ</t>
  </si>
  <si>
    <t>ΜΕΛΠΟΜΕΝΗ</t>
  </si>
  <si>
    <t>ΑΓΓΕΛΟΣ</t>
  </si>
  <si>
    <t>ΑΕ376912</t>
  </si>
  <si>
    <t>995,5</t>
  </si>
  <si>
    <t>1793,5</t>
  </si>
  <si>
    <t>ΤΣΟΜΠΑΝΟΥ</t>
  </si>
  <si>
    <t>ΧΑΡΙΚΛΕΙΑ</t>
  </si>
  <si>
    <t>ΑΗ674573</t>
  </si>
  <si>
    <t>994,4</t>
  </si>
  <si>
    <t>1792,4</t>
  </si>
  <si>
    <t>ΚΟΥΦΟΥ</t>
  </si>
  <si>
    <t xml:space="preserve">ΕΥΘΥΜΙΑ </t>
  </si>
  <si>
    <t>ΑΙ369746</t>
  </si>
  <si>
    <t>ΦΙΛΙΠΠΙΔΗΣ</t>
  </si>
  <si>
    <t>ΣΑΒΒΑΣ</t>
  </si>
  <si>
    <t>ΑΒ693929</t>
  </si>
  <si>
    <t>ΠΑΠΑΖΗΣΗ</t>
  </si>
  <si>
    <t>ΣΩΚΡΑΤΗΣ</t>
  </si>
  <si>
    <t>ΑΕ677320</t>
  </si>
  <si>
    <t>ΒΙΣΚΟΥ</t>
  </si>
  <si>
    <t>ΑΑ240067</t>
  </si>
  <si>
    <t>1049,4</t>
  </si>
  <si>
    <t>1787,4</t>
  </si>
  <si>
    <t>ΣΙΣΜΑΝΗ</t>
  </si>
  <si>
    <t>ΚΑΣΑΝΔΡΑ</t>
  </si>
  <si>
    <t>ΑΖ675641</t>
  </si>
  <si>
    <t>ΛΟΓΑΡΝΙΔΟΥ</t>
  </si>
  <si>
    <t>ΣΤΑΥΡΟΥΛΑ</t>
  </si>
  <si>
    <t>ΝΙΚΗΦΟΡΟΣ</t>
  </si>
  <si>
    <t>ΑΖ408770</t>
  </si>
  <si>
    <t>1017,5</t>
  </si>
  <si>
    <t>1785,5</t>
  </si>
  <si>
    <t>ΔΕΛΗΘΑΝΑΣΗ</t>
  </si>
  <si>
    <t>Χ221755</t>
  </si>
  <si>
    <t>976,8</t>
  </si>
  <si>
    <t>1784,8</t>
  </si>
  <si>
    <t>ΜΑΝΩΛΙΑΔΟΥ</t>
  </si>
  <si>
    <t>ΑΛΕΞΑΝΔΡΑ</t>
  </si>
  <si>
    <t>ΧΡΥΣΟΣΤΟΜΟΣ</t>
  </si>
  <si>
    <t>ΑΙ163818</t>
  </si>
  <si>
    <t>1783,5</t>
  </si>
  <si>
    <t>ΧΑΣΟΠΟΥΛΟΥ</t>
  </si>
  <si>
    <t>ΑΙ334001</t>
  </si>
  <si>
    <t>1057,1</t>
  </si>
  <si>
    <t>1783,1</t>
  </si>
  <si>
    <t>ΠΟΥΛΙΝΑΚΗ</t>
  </si>
  <si>
    <t>ΧΑΤΖΙΝΑ</t>
  </si>
  <si>
    <t>ΑΜ965282</t>
  </si>
  <si>
    <t>ΜΠΑΣΙΑ</t>
  </si>
  <si>
    <t>ΕΛΠΙΔΑ</t>
  </si>
  <si>
    <t>Χ725526</t>
  </si>
  <si>
    <t>ΑΡΤΕΜΙΣ</t>
  </si>
  <si>
    <t>ΑΕ843189</t>
  </si>
  <si>
    <t>944,9</t>
  </si>
  <si>
    <t>1782,9</t>
  </si>
  <si>
    <t>ΒΑΤΑΚΙΔΟΥ</t>
  </si>
  <si>
    <t>ΑΚ253911</t>
  </si>
  <si>
    <t>ΜΠΑΛΤΖΗ</t>
  </si>
  <si>
    <t>ΧΡΥΣ</t>
  </si>
  <si>
    <t>ΠΑΣΧΑΛΗΣ</t>
  </si>
  <si>
    <t>ΑΚ257582</t>
  </si>
  <si>
    <t>1780,5</t>
  </si>
  <si>
    <t>ΓΟΝΙΔΑΚΗ</t>
  </si>
  <si>
    <t>ΑΝ170256</t>
  </si>
  <si>
    <t>1779,5</t>
  </si>
  <si>
    <t>ΚΟΚΑΡΙΔΑ</t>
  </si>
  <si>
    <t>Χ247180</t>
  </si>
  <si>
    <t>ΤΕΚΕΛΙΔΗΣ</t>
  </si>
  <si>
    <t>ΑΝΕΣΤΗΣ</t>
  </si>
  <si>
    <t>ΣΤΑΥΡΟΣ</t>
  </si>
  <si>
    <t>ΑΒ690771</t>
  </si>
  <si>
    <t>ΔΑΛΓΙΤΣΗ</t>
  </si>
  <si>
    <t>ΝΕΚΤΑΡΙΑ</t>
  </si>
  <si>
    <t>ΑΕ916287</t>
  </si>
  <si>
    <t>1007,6</t>
  </si>
  <si>
    <t>1775,6</t>
  </si>
  <si>
    <t>ΚΑΡΑΛΗ</t>
  </si>
  <si>
    <t>ΧΡΥΣΟΥΛΑ</t>
  </si>
  <si>
    <t>ΚΛΕΑΝΘΗΣ</t>
  </si>
  <si>
    <t>Φ432357</t>
  </si>
  <si>
    <t>ΜΑΛΛΙΝΗ</t>
  </si>
  <si>
    <t>ΑΙ721580</t>
  </si>
  <si>
    <t>ΜΑΝΔΑΜΑΝΔΙΩΤΗΣ</t>
  </si>
  <si>
    <t>ΑΗ933752</t>
  </si>
  <si>
    <t>1773,1</t>
  </si>
  <si>
    <t>ΛΙΑΚΟΥ</t>
  </si>
  <si>
    <t>ΑΗ665626</t>
  </si>
  <si>
    <t>1772,9</t>
  </si>
  <si>
    <t>ΔΑΚΟΠΟΥΛΟΥ</t>
  </si>
  <si>
    <t>ΠΗΝΕΛΟΠΗ</t>
  </si>
  <si>
    <t>ΑΕ360845</t>
  </si>
  <si>
    <t>964,7</t>
  </si>
  <si>
    <t>1772,7</t>
  </si>
  <si>
    <t>ΤΣΑΚΩΝΗ</t>
  </si>
  <si>
    <t>Χ233412</t>
  </si>
  <si>
    <t>ΓΑΒΡΑ</t>
  </si>
  <si>
    <t>ΑΕ864318</t>
  </si>
  <si>
    <t>1771,5</t>
  </si>
  <si>
    <t>ΧΑΣΑΠΗΣ</t>
  </si>
  <si>
    <t>ΕΥΘΥΜΙΟΣ</t>
  </si>
  <si>
    <t>ΑΙ711152</t>
  </si>
  <si>
    <t>ΣΥΡΟΠΟΥΛΟΥ</t>
  </si>
  <si>
    <t>Χ266136</t>
  </si>
  <si>
    <t>973,5</t>
  </si>
  <si>
    <t>ΧΩΛΙΔΟΥ</t>
  </si>
  <si>
    <t>ΣΕΜΙΡΑΜΙΣ</t>
  </si>
  <si>
    <t>ΑΑ231210</t>
  </si>
  <si>
    <t>1770,8</t>
  </si>
  <si>
    <t>ΕΥΣΤΡΑΤΙΑ</t>
  </si>
  <si>
    <t>ΑΕ661627</t>
  </si>
  <si>
    <t>962,5</t>
  </si>
  <si>
    <t>1770,5</t>
  </si>
  <si>
    <t>ΤΣΟΥΡΟΥΤΗ</t>
  </si>
  <si>
    <t>ΛΑΜΠΡΟΣ</t>
  </si>
  <si>
    <t>ΑΑ062355</t>
  </si>
  <si>
    <t>1769,5</t>
  </si>
  <si>
    <t>ΚΟΣΚΙΝΑ</t>
  </si>
  <si>
    <t>ΑΕ193629</t>
  </si>
  <si>
    <t>1768,5</t>
  </si>
  <si>
    <t>ΦΩΤΙΑΔΟΥ</t>
  </si>
  <si>
    <t>ΑΙ730307</t>
  </si>
  <si>
    <t>1767,9</t>
  </si>
  <si>
    <t>ΣΥΚΑ</t>
  </si>
  <si>
    <t>ΓΡΗΓΟΡΙΟΣ</t>
  </si>
  <si>
    <t>ΑΖ165434</t>
  </si>
  <si>
    <t>999,9</t>
  </si>
  <si>
    <t>ΤΣΩΚΟΥ</t>
  </si>
  <si>
    <t>ΔΙΟΝΥΣΙΟΣ</t>
  </si>
  <si>
    <t>ΑΝ186021</t>
  </si>
  <si>
    <t>ΡΟΔΙΤΟΥ</t>
  </si>
  <si>
    <t>ΑΚ270031</t>
  </si>
  <si>
    <t>ΑΓΓΕΛΟΠΟΥΛΟΥ</t>
  </si>
  <si>
    <t>ΑΖ228043</t>
  </si>
  <si>
    <t>1765,5</t>
  </si>
  <si>
    <t>ΔΑΜΠΛΙΑ</t>
  </si>
  <si>
    <t>Ξ873456</t>
  </si>
  <si>
    <t>1025,2</t>
  </si>
  <si>
    <t>1763,2</t>
  </si>
  <si>
    <t>ΧΑΛΚΙΑΔΑΚΗ</t>
  </si>
  <si>
    <t>ΑΙ170575</t>
  </si>
  <si>
    <t>954,8</t>
  </si>
  <si>
    <t>1762,8</t>
  </si>
  <si>
    <t>ΤΑΒΛΙΚΟΥ</t>
  </si>
  <si>
    <t>ΒΑΛΣΑΜΗΣ</t>
  </si>
  <si>
    <t>ΑΝ189572</t>
  </si>
  <si>
    <t>ΟΙΚΟΝΟΜΟΥ</t>
  </si>
  <si>
    <t>ΑΦΡΟΔΙΤΗ</t>
  </si>
  <si>
    <t>Π813882</t>
  </si>
  <si>
    <t>1761,5</t>
  </si>
  <si>
    <t>ΜΙΧΑΛΑΚΗΣ</t>
  </si>
  <si>
    <t>ΑΚ979522</t>
  </si>
  <si>
    <t>ΣΟΥΡΛΑ</t>
  </si>
  <si>
    <t>ΑΙ311185</t>
  </si>
  <si>
    <t>1760,5</t>
  </si>
  <si>
    <t>ΚΑΡΑΒΑΣΙΛΗΣ</t>
  </si>
  <si>
    <t>ΑΖ661011</t>
  </si>
  <si>
    <t>Φωτοπούλου</t>
  </si>
  <si>
    <t>Ζωγραφιά</t>
  </si>
  <si>
    <t>ΓΕΏΡΓΙΟΣ</t>
  </si>
  <si>
    <t>ΑΝ186459</t>
  </si>
  <si>
    <t>1759,5</t>
  </si>
  <si>
    <t>ΠΑΣΧΟΥ</t>
  </si>
  <si>
    <t>Ρ763701</t>
  </si>
  <si>
    <t>ΣΑΡΑΦΗ</t>
  </si>
  <si>
    <t>ΔΗΜΟΚΛΕΙΑ</t>
  </si>
  <si>
    <t>Χ763232</t>
  </si>
  <si>
    <t>971,3</t>
  </si>
  <si>
    <t>1759,3</t>
  </si>
  <si>
    <t>ΕΥΑΓΓΕΛΟΣ</t>
  </si>
  <si>
    <t>Χ222318</t>
  </si>
  <si>
    <t>1758,5</t>
  </si>
  <si>
    <t>ΞΑΝΘΟΥ</t>
  </si>
  <si>
    <t>ΜΑΓΔΑΛΗΝΗ</t>
  </si>
  <si>
    <t>ΑΙ180104</t>
  </si>
  <si>
    <t>ΤΟΥΜΠΑΝΟΣ</t>
  </si>
  <si>
    <t>ΑΜ723819</t>
  </si>
  <si>
    <t>940,5</t>
  </si>
  <si>
    <t>ΚΑΛΑΜΑΣ</t>
  </si>
  <si>
    <t>ΟΔΥΣΣΕΑΣ</t>
  </si>
  <si>
    <t>ΑΖ761961</t>
  </si>
  <si>
    <t>1755,5</t>
  </si>
  <si>
    <t>ΜΕΛΗ</t>
  </si>
  <si>
    <t>Ξ689999</t>
  </si>
  <si>
    <t>ΤΖΗΜΟΥ</t>
  </si>
  <si>
    <t>ΓΛΥΚΕΡΙΑ</t>
  </si>
  <si>
    <t>ΑΚ278607</t>
  </si>
  <si>
    <t>ΜΑΡΙΝΟΠΟΥΛΟΥ</t>
  </si>
  <si>
    <t>Χ241865</t>
  </si>
  <si>
    <t>ΜΠΑΣΔΕΚΗ</t>
  </si>
  <si>
    <t>ΜΑΡΙΑ ΑΝΝΑ</t>
  </si>
  <si>
    <t>Χ923091</t>
  </si>
  <si>
    <t>1752,5</t>
  </si>
  <si>
    <t>702-703-705-704</t>
  </si>
  <si>
    <t>ΤΖΑΚΗ</t>
  </si>
  <si>
    <t>ΑΑ477209</t>
  </si>
  <si>
    <t>701-702-703</t>
  </si>
  <si>
    <t>ΠΕΤΡΑΚΗ</t>
  </si>
  <si>
    <t>ΧΑΡΙΤΙΝΗ</t>
  </si>
  <si>
    <t>Π791212</t>
  </si>
  <si>
    <t>1750,5</t>
  </si>
  <si>
    <t>ΓΡΗΓΟΡΟΓΛΟΥ</t>
  </si>
  <si>
    <t>ΣΟΥΛΤΑΝΑ</t>
  </si>
  <si>
    <t>Μ389496</t>
  </si>
  <si>
    <t>ΑΚΟΥΛΟΓΛΟΥ</t>
  </si>
  <si>
    <t>ΑΜ657604</t>
  </si>
  <si>
    <t>ΜΕΛΙΔΟΥ</t>
  </si>
  <si>
    <t>ΑΝΔΡΟ</t>
  </si>
  <si>
    <t>ΑΖ654081</t>
  </si>
  <si>
    <t>ΠΑΣΙΑΤΑ</t>
  </si>
  <si>
    <t>Ρ759309</t>
  </si>
  <si>
    <t>1749,5</t>
  </si>
  <si>
    <t>ΡΙΝΤΟΥ</t>
  </si>
  <si>
    <t>Φ316251</t>
  </si>
  <si>
    <t>ΤΑΣΚΟΥ</t>
  </si>
  <si>
    <t>ΑΝ180179</t>
  </si>
  <si>
    <t>1009,8</t>
  </si>
  <si>
    <t>1747,8</t>
  </si>
  <si>
    <t>ΜΠΟΤΗ</t>
  </si>
  <si>
    <t>ΑΗ189552</t>
  </si>
  <si>
    <t>909,7</t>
  </si>
  <si>
    <t>1747,7</t>
  </si>
  <si>
    <t xml:space="preserve">ΣΔΡΑΛΗ </t>
  </si>
  <si>
    <t xml:space="preserve">ΕΥΑΓΓΕΛΙΑ </t>
  </si>
  <si>
    <t>ΑΙ698695</t>
  </si>
  <si>
    <t>949,3</t>
  </si>
  <si>
    <t>1747,3</t>
  </si>
  <si>
    <t>ΡΟΔΟΥΣΗ</t>
  </si>
  <si>
    <t>ΑΒ662090</t>
  </si>
  <si>
    <t>959,2</t>
  </si>
  <si>
    <t>1747,2</t>
  </si>
  <si>
    <t>ΠΑΠΑΠΟΣΤΟΛΟΥ</t>
  </si>
  <si>
    <t>Χ266490</t>
  </si>
  <si>
    <t>703-704</t>
  </si>
  <si>
    <t>ΡΟΥΣΣΟΥ</t>
  </si>
  <si>
    <t>ΑΒ102830</t>
  </si>
  <si>
    <t>ΜΠΑΧΤΣΕΒΑΝΗ</t>
  </si>
  <si>
    <t>ΔΙΑΛΕΚΤΗ</t>
  </si>
  <si>
    <t>ΦΩΤΙΟΣ</t>
  </si>
  <si>
    <t>ΑΗ658212</t>
  </si>
  <si>
    <t>977,9</t>
  </si>
  <si>
    <t>1745,9</t>
  </si>
  <si>
    <t>ΓΚΡΑΒΑ</t>
  </si>
  <si>
    <t>ΑΘΗΝΑ</t>
  </si>
  <si>
    <t>ΑΒ422822</t>
  </si>
  <si>
    <t>1744,5</t>
  </si>
  <si>
    <t>ΚΑΤΣΙΚΑ</t>
  </si>
  <si>
    <t>ΑΚ297873</t>
  </si>
  <si>
    <t>ΦΩΤΗΣ</t>
  </si>
  <si>
    <t>ΑΥΓΕΡΙΝΟΣ</t>
  </si>
  <si>
    <t>Ρ426813</t>
  </si>
  <si>
    <t>ΠΑΛΙΑΧΑΝΗ</t>
  </si>
  <si>
    <t>ΕΒΕΛΙΝΑ</t>
  </si>
  <si>
    <t>ΠΕΤΡΟΣ</t>
  </si>
  <si>
    <t>Ν416379</t>
  </si>
  <si>
    <t>ΓΑΒΡΙΗΛΙΔΟΥ</t>
  </si>
  <si>
    <t>ΟΛΓΑ</t>
  </si>
  <si>
    <t>Χ223291</t>
  </si>
  <si>
    <t>ΛΑΜΠΡΟΠΟΥΛΟΣ</t>
  </si>
  <si>
    <t>Ν872161</t>
  </si>
  <si>
    <t>1742,8</t>
  </si>
  <si>
    <t>ΑΝΓΚΕΛΟΒΑ</t>
  </si>
  <si>
    <t>ΜΠΟΝΚΑ</t>
  </si>
  <si>
    <t>ΑΝΓΚΕΛ</t>
  </si>
  <si>
    <t>ΑΚ927154</t>
  </si>
  <si>
    <t>1742,6</t>
  </si>
  <si>
    <t>ΚΟΤΡΩΝΗ</t>
  </si>
  <si>
    <t>Μ652746</t>
  </si>
  <si>
    <t>974,6</t>
  </si>
  <si>
    <t>ΨΑΡΡΑ</t>
  </si>
  <si>
    <t>ΑΕ168761</t>
  </si>
  <si>
    <t>ΣΤΑΜΑΤΙΑΔΟΥ</t>
  </si>
  <si>
    <t>ΣΜΑΡΑΓΔΑ</t>
  </si>
  <si>
    <t>ΑΕ195724</t>
  </si>
  <si>
    <t>ΓΚΑΚΙΔΟΥ</t>
  </si>
  <si>
    <t>ΜΑΡΙΝΑ</t>
  </si>
  <si>
    <t>Χ673467</t>
  </si>
  <si>
    <t>1742,5</t>
  </si>
  <si>
    <t>ΚΑΣΤΕΛΗ</t>
  </si>
  <si>
    <t>Π864191</t>
  </si>
  <si>
    <t>1742,3</t>
  </si>
  <si>
    <t>ΜΠΟΥΚΗ</t>
  </si>
  <si>
    <t>Χ767963</t>
  </si>
  <si>
    <t>ΤΖΙΩΤΖΙΟΥ</t>
  </si>
  <si>
    <t>Χ750192</t>
  </si>
  <si>
    <t>1741,5</t>
  </si>
  <si>
    <t>ΓΙΑΝΤΣΙΟΥ</t>
  </si>
  <si>
    <t>ΑΚ314909</t>
  </si>
  <si>
    <t>ΣΑΛΛΙΟΣ</t>
  </si>
  <si>
    <t>ΑΖ301417</t>
  </si>
  <si>
    <t>1002,1</t>
  </si>
  <si>
    <t>1740,1</t>
  </si>
  <si>
    <t>ΒΑΣΙΛΟΥΔΗ</t>
  </si>
  <si>
    <t>ΑΒ130856</t>
  </si>
  <si>
    <t>ΣΕΡΑΣΙΔΟΥ</t>
  </si>
  <si>
    <t>ΑΙ713365</t>
  </si>
  <si>
    <t>1739,3</t>
  </si>
  <si>
    <t>ΦΙΣΤΟΠΟΥΛΟΥ</t>
  </si>
  <si>
    <t>ΑΙ298380</t>
  </si>
  <si>
    <t>ΜΩΥΣΙΔΟΥ</t>
  </si>
  <si>
    <t>ΘΕΜΙΣΤΟΚΛΗΣ</t>
  </si>
  <si>
    <t>Ξ547053</t>
  </si>
  <si>
    <t>ΓΙΑΜΑΛΗΣ</t>
  </si>
  <si>
    <t>ΑΕ660730</t>
  </si>
  <si>
    <t>1737,9</t>
  </si>
  <si>
    <t>ΚΗΠΟΥΡΟΥ</t>
  </si>
  <si>
    <t>ΣΤΕΛΛΑ</t>
  </si>
  <si>
    <t>Π826346</t>
  </si>
  <si>
    <t>998,8</t>
  </si>
  <si>
    <t>1736,8</t>
  </si>
  <si>
    <t>ΓΚΟΡΗ</t>
  </si>
  <si>
    <t>ΘΕΟΦΑΝΕΙΑ</t>
  </si>
  <si>
    <t>ΑΜ720368</t>
  </si>
  <si>
    <t>975,7</t>
  </si>
  <si>
    <t>1736,7</t>
  </si>
  <si>
    <t>ΠΑΝΑΓΙΩΤΕΛΙΔΟΥ</t>
  </si>
  <si>
    <t>ΣΥΡΜΑΤΩ</t>
  </si>
  <si>
    <t>ΑΗ161564</t>
  </si>
  <si>
    <t>937,2</t>
  </si>
  <si>
    <t>1735,2</t>
  </si>
  <si>
    <t>ΠΑΣΙΑ</t>
  </si>
  <si>
    <t>ΑΑ247478</t>
  </si>
  <si>
    <t>ΜΗΝΑΟΓΛΟΥ</t>
  </si>
  <si>
    <t>IΩΑΝΝΑ</t>
  </si>
  <si>
    <t>ΑΚ851211</t>
  </si>
  <si>
    <t>1733,5</t>
  </si>
  <si>
    <t>ΧΑΡΙΣΗ</t>
  </si>
  <si>
    <t>ΑΙ189853</t>
  </si>
  <si>
    <t>ΓΚΙΚΑΣ</t>
  </si>
  <si>
    <t>ΑΚ269324</t>
  </si>
  <si>
    <t>ΠΡΩΤΟΠΑΠΑ</t>
  </si>
  <si>
    <t>ΑΚ016629</t>
  </si>
  <si>
    <t>ΔΗΜΗΤΡΙΟΥ</t>
  </si>
  <si>
    <t>Π541782</t>
  </si>
  <si>
    <t>1730,5</t>
  </si>
  <si>
    <t>ΤΖΙΩΡΑ</t>
  </si>
  <si>
    <t>Χ480961</t>
  </si>
  <si>
    <t>ΛΟΥΤΣΟΥ</t>
  </si>
  <si>
    <t>ΜΑΡΙΑΝΝΑ</t>
  </si>
  <si>
    <t>ΑΕ757567</t>
  </si>
  <si>
    <t>921,8</t>
  </si>
  <si>
    <t>1729,8</t>
  </si>
  <si>
    <t>ΚΟΥΜΟΡΤΖΗ</t>
  </si>
  <si>
    <t>ΟΛΥΜΠΙΑ</t>
  </si>
  <si>
    <t>ΑΗ401665</t>
  </si>
  <si>
    <t>1728,5</t>
  </si>
  <si>
    <t>ΠΕΙΡΟΥΝΙΔΟΥ</t>
  </si>
  <si>
    <t>ΑΒ165388</t>
  </si>
  <si>
    <t>ΑΛΜΥΡΟΥ</t>
  </si>
  <si>
    <t>ΑΗ685186</t>
  </si>
  <si>
    <t>ΧΑΤΖΗΓΙΑΝΝΗ</t>
  </si>
  <si>
    <t>ΑΒ684779</t>
  </si>
  <si>
    <t>1726,2</t>
  </si>
  <si>
    <t>ΜΑΤΑΚΙΔΗΣ</t>
  </si>
  <si>
    <t>ΔΗΜΗΤΡΗΣ</t>
  </si>
  <si>
    <t>ΑΜ254579</t>
  </si>
  <si>
    <t>ΒΑΪΡΑΜΙΔΟΥ</t>
  </si>
  <si>
    <t>Σ494420</t>
  </si>
  <si>
    <t>1723,5</t>
  </si>
  <si>
    <t>ΜΠΙΖΙΟΣ</t>
  </si>
  <si>
    <t>ΑΕ818330</t>
  </si>
  <si>
    <t>ΠΑΣΤΡΙΚΑΚΗΣ</t>
  </si>
  <si>
    <t>ΑΒ704864</t>
  </si>
  <si>
    <t>ΣΑΡΑΝΤΗ</t>
  </si>
  <si>
    <t>ΚΩΣΤΑΝΤΙΝΙΑ</t>
  </si>
  <si>
    <t>ΑΗ155507</t>
  </si>
  <si>
    <t>1722,8</t>
  </si>
  <si>
    <t>ΜΟΥΚΑ</t>
  </si>
  <si>
    <t>ΑΓΓΕΛΙΚΗ</t>
  </si>
  <si>
    <t>ΑΙ351380</t>
  </si>
  <si>
    <t>1722,5</t>
  </si>
  <si>
    <t>ΠΑΝΑΓΟΥ</t>
  </si>
  <si>
    <t>ΑΓΟΡΙΤΣΑ</t>
  </si>
  <si>
    <t>ΑΕ657109</t>
  </si>
  <si>
    <t>ΙΩΑΝΝΙΔΟΥ</t>
  </si>
  <si>
    <t>ΑΖ342759</t>
  </si>
  <si>
    <t>ΣΚΟΥΡΑ</t>
  </si>
  <si>
    <t>ΑΜ036183</t>
  </si>
  <si>
    <t>ΒΑΣΙΓΙΑΝΝΗ</t>
  </si>
  <si>
    <t>ΑΕ347051</t>
  </si>
  <si>
    <t>1721,8</t>
  </si>
  <si>
    <t>ΚΑΡΠΕΤΗ</t>
  </si>
  <si>
    <t>ΑΖ862896</t>
  </si>
  <si>
    <t>1721,5</t>
  </si>
  <si>
    <t>ΑΔΑΜΙΔΟΥ</t>
  </si>
  <si>
    <t>ΠΛΑΤΩΝ</t>
  </si>
  <si>
    <t>ΑΑ251801</t>
  </si>
  <si>
    <t>1720,5</t>
  </si>
  <si>
    <t>ΣΑΛΗ</t>
  </si>
  <si>
    <t>ΚΑΣΤΡΙΩΤ</t>
  </si>
  <si>
    <t>ΑΗ767272</t>
  </si>
  <si>
    <t>ΜΠΟΥΡΛΗ</t>
  </si>
  <si>
    <t>Ρ980698</t>
  </si>
  <si>
    <t>ΚΟΥΝΤΟΥΡΙΑΝΟΣ</t>
  </si>
  <si>
    <t>Ν697300</t>
  </si>
  <si>
    <t>981,2</t>
  </si>
  <si>
    <t>1719,2</t>
  </si>
  <si>
    <t>ΜΙΝΤΖΑΡΙΔΟΥ</t>
  </si>
  <si>
    <t>ΗΛΙΑΣ</t>
  </si>
  <si>
    <t>ΑΙ153406</t>
  </si>
  <si>
    <t>1718,4</t>
  </si>
  <si>
    <t>ΚΟΒΑΝΙΔΟΥ</t>
  </si>
  <si>
    <t>ΑΗ651527</t>
  </si>
  <si>
    <t>ΣΦΕΝΔΩΝΗ</t>
  </si>
  <si>
    <t>ΦΕΒΡΩΝΙΑ</t>
  </si>
  <si>
    <t>ΑΖ292775</t>
  </si>
  <si>
    <t xml:space="preserve">ΚΟΤΣΟΓΛΑΝΙΔΟΥ </t>
  </si>
  <si>
    <t>ΑΖ689985</t>
  </si>
  <si>
    <t>ΘΕΟΔΩΡΟΥ</t>
  </si>
  <si>
    <t>ΑΚ949092</t>
  </si>
  <si>
    <t>1059,3</t>
  </si>
  <si>
    <t>1717,3</t>
  </si>
  <si>
    <t>ΣΠΥΡΟΥ</t>
  </si>
  <si>
    <t>ΣΤΑΜΑΤΙΑ</t>
  </si>
  <si>
    <t>ΑΚ313842</t>
  </si>
  <si>
    <t>ΒΟΓΙΑΤΖΗ</t>
  </si>
  <si>
    <t>ΑΝ211121</t>
  </si>
  <si>
    <t>ΒΑΣΤΑΡΟΥΧΑ</t>
  </si>
  <si>
    <t>ΘΕΟΦΙΛΟΣ</t>
  </si>
  <si>
    <t>ΑΙ574577</t>
  </si>
  <si>
    <t>ΣΚΟΝΔΡΑΣ</t>
  </si>
  <si>
    <t>ΑΕ246646</t>
  </si>
  <si>
    <t>1716,5</t>
  </si>
  <si>
    <t>ΑΝΝΑΟΓΛΟΥ</t>
  </si>
  <si>
    <t>ΧΑΡΑΛΑΜΠ</t>
  </si>
  <si>
    <t>ΑΖ649909</t>
  </si>
  <si>
    <t>1714,8</t>
  </si>
  <si>
    <t>ΚΟΝΤΟΓΙΑΝΝΗ</t>
  </si>
  <si>
    <t>Σ459828</t>
  </si>
  <si>
    <t>1714,3</t>
  </si>
  <si>
    <t>ΜΠΟΝΤΗ</t>
  </si>
  <si>
    <t>Χ438686</t>
  </si>
  <si>
    <t>ΚΑΛΦΟΠΟΥΛΟΥ</t>
  </si>
  <si>
    <t>ΖΑΧΑΡΕΝΙΑ ΜΑΡΙΝΑ</t>
  </si>
  <si>
    <t>ΑΖ660505</t>
  </si>
  <si>
    <t>ΜΑΙΡΗ</t>
  </si>
  <si>
    <t>ΑΙ820555</t>
  </si>
  <si>
    <t>ΚΑΜΠΟΥΡΗ</t>
  </si>
  <si>
    <t>ΚΩΣΤΑΝΤΙΝΟΣ</t>
  </si>
  <si>
    <t>Ρ159611</t>
  </si>
  <si>
    <t>ΧΑΡΑΛΑΜΠΙΔΟΥ</t>
  </si>
  <si>
    <t>ΑΖ178055</t>
  </si>
  <si>
    <t>1712,6</t>
  </si>
  <si>
    <t>ΧΑΤΖΗΘΕΟΔΩΡΙΔΟΥ</t>
  </si>
  <si>
    <t>ΓΙΑΝΝΟΥΛΑ</t>
  </si>
  <si>
    <t>ΑΜ671464</t>
  </si>
  <si>
    <t>894,3</t>
  </si>
  <si>
    <t>1712,3</t>
  </si>
  <si>
    <t>ΚΑΡΑΤΖΑ</t>
  </si>
  <si>
    <t>ΑΗ157042</t>
  </si>
  <si>
    <t>1711,5</t>
  </si>
  <si>
    <t>ΜΙΧΑΛΑΤΟΥ</t>
  </si>
  <si>
    <t>ΓΕΡΑΣΙΜΙΝΑ</t>
  </si>
  <si>
    <t>ΑΗ177893</t>
  </si>
  <si>
    <t>ΚΥΡΙΑΚΟΠΟΥΛΟΥ</t>
  </si>
  <si>
    <t>ΑΖ504997</t>
  </si>
  <si>
    <t>ΣΛΑΒΑΚΗ</t>
  </si>
  <si>
    <t>ΕΥΦΡΟΣΥΝΗ</t>
  </si>
  <si>
    <t>ΑΙ720403</t>
  </si>
  <si>
    <t>1709,8</t>
  </si>
  <si>
    <t>ΔΕΡΜΕΝΤΖΟΠΟΥΛΟΥ</t>
  </si>
  <si>
    <t>ΜΑΡΙΑΝ</t>
  </si>
  <si>
    <t>Χ746498</t>
  </si>
  <si>
    <t>1709,3</t>
  </si>
  <si>
    <t>ΣΑΒΒΙΔΟΥ</t>
  </si>
  <si>
    <t>ΑΕ176728</t>
  </si>
  <si>
    <t>ΤΡΑΪΚΟΥ</t>
  </si>
  <si>
    <t>Π241973</t>
  </si>
  <si>
    <t>1709,2</t>
  </si>
  <si>
    <t>ΤΣΙΓΚΑ</t>
  </si>
  <si>
    <t>ΑΚ947636</t>
  </si>
  <si>
    <t>ΑΝΔΡΟΒΙΤΣΑΝΕΑ</t>
  </si>
  <si>
    <t>Χ285728</t>
  </si>
  <si>
    <t>1707,5</t>
  </si>
  <si>
    <t>ΠΑΤΛΑΚΗ</t>
  </si>
  <si>
    <t>ΑΒ720311</t>
  </si>
  <si>
    <t>1707,4</t>
  </si>
  <si>
    <t>ΧΑΤΖΗΠΡΙΜΟΣ</t>
  </si>
  <si>
    <t>ΑΖ190803</t>
  </si>
  <si>
    <t>939,4</t>
  </si>
  <si>
    <t>ΠΑΡΑΣΚΕΥΑΚΗ</t>
  </si>
  <si>
    <t>ΑΖ187536</t>
  </si>
  <si>
    <t>969,1</t>
  </si>
  <si>
    <t>1707,1</t>
  </si>
  <si>
    <t>ΤΟΛΗΣ</t>
  </si>
  <si>
    <t>ΑΑ381937</t>
  </si>
  <si>
    <t>918,5</t>
  </si>
  <si>
    <t>1706,5</t>
  </si>
  <si>
    <t>ΛΟΥΚΑΣ</t>
  </si>
  <si>
    <t>ΒΙΚΤΩΡΑΣ</t>
  </si>
  <si>
    <t>ΑΕ850055</t>
  </si>
  <si>
    <t>1706,3</t>
  </si>
  <si>
    <t>ΤΣΑΚΙΡΟΓΛΟΥ</t>
  </si>
  <si>
    <t>ΜΑΝΩΛΗΣ</t>
  </si>
  <si>
    <t>ΑΖ958581</t>
  </si>
  <si>
    <t>ΤΖΑΒΕΛΛΑ</t>
  </si>
  <si>
    <t>ΑΗ160700</t>
  </si>
  <si>
    <t>1085,7</t>
  </si>
  <si>
    <t>1703,7</t>
  </si>
  <si>
    <t>ΘΕΟΔΟΣΟΠΟΥΛΟΥ</t>
  </si>
  <si>
    <t>ΑΙ183427</t>
  </si>
  <si>
    <t>ΖΑΜΠΙΤΗ</t>
  </si>
  <si>
    <t>ΑΒ677118</t>
  </si>
  <si>
    <t>ΦΟΥΣΚΟΥ</t>
  </si>
  <si>
    <t>Σ339475</t>
  </si>
  <si>
    <t>Καμπουράκη</t>
  </si>
  <si>
    <t>Αλεξανδρα</t>
  </si>
  <si>
    <t>ΑΗ172560</t>
  </si>
  <si>
    <t>1702,8</t>
  </si>
  <si>
    <t>ΡΙΖΟΥ</t>
  </si>
  <si>
    <t>ΜΑΡΙΑ-ΕΛΕΝΗ</t>
  </si>
  <si>
    <t>ΑΝΑΡΓΥΡΟΣ</t>
  </si>
  <si>
    <t>Χ482572</t>
  </si>
  <si>
    <t>1702,5</t>
  </si>
  <si>
    <t>ΜΟΡΑΚΗ</t>
  </si>
  <si>
    <t>ΛΟΙΖΟΣ</t>
  </si>
  <si>
    <t>ΑΖ667838</t>
  </si>
  <si>
    <t>1702,1</t>
  </si>
  <si>
    <t>ΒΟΡΔΟΓΙΑΝΝΗ</t>
  </si>
  <si>
    <t>ΒΑΙΑ</t>
  </si>
  <si>
    <t>ΑΚ321351</t>
  </si>
  <si>
    <t>1701,5</t>
  </si>
  <si>
    <t>ΜΠΑΧΑΡΙΔΗΣ</t>
  </si>
  <si>
    <t>ΑΗ921517</t>
  </si>
  <si>
    <t>ΛΑΠΟΥΡΙΔΟΥ</t>
  </si>
  <si>
    <t>ΜΑΜΑΣ</t>
  </si>
  <si>
    <t>ΑΕ166718</t>
  </si>
  <si>
    <t>1052,7</t>
  </si>
  <si>
    <t>1700,7</t>
  </si>
  <si>
    <t>ΜΑΡΙΣΙΟΣ</t>
  </si>
  <si>
    <t>ΜΙΛΤΙΑΔΗΣ</t>
  </si>
  <si>
    <t>ΑΕ652334</t>
  </si>
  <si>
    <t>1700,4</t>
  </si>
  <si>
    <t>ΖΑΓΚΑ</t>
  </si>
  <si>
    <t>ΑΜ724845</t>
  </si>
  <si>
    <t>1046,1</t>
  </si>
  <si>
    <t>1700,1</t>
  </si>
  <si>
    <t>ΧΑΡΑΒΙΤΣΙΔΟΥ</t>
  </si>
  <si>
    <t>ΑΡΙΣΤΟΤΕΛΗΣ</t>
  </si>
  <si>
    <t>ΑΑ480400</t>
  </si>
  <si>
    <t>ΤΑΡΑΜΑΝΗ</t>
  </si>
  <si>
    <t>ΛΑΖΑΡΙΑ</t>
  </si>
  <si>
    <t>ΑΕ125680</t>
  </si>
  <si>
    <t>1698,5</t>
  </si>
  <si>
    <t>ΖΑΓΑΝΑ</t>
  </si>
  <si>
    <t>Π500420</t>
  </si>
  <si>
    <t>ΓΕΩΡΓΙΟΥ</t>
  </si>
  <si>
    <t>ΑΗ264471</t>
  </si>
  <si>
    <t>889,9</t>
  </si>
  <si>
    <t>1697,9</t>
  </si>
  <si>
    <t>ΖΕΡΜΑ</t>
  </si>
  <si>
    <t>Φ288931</t>
  </si>
  <si>
    <t>1697,5</t>
  </si>
  <si>
    <t>ΜΗΤΣΟΠΟΥΛΟΥ</t>
  </si>
  <si>
    <t>ΑΑ279037</t>
  </si>
  <si>
    <t>1079,1</t>
  </si>
  <si>
    <t>1697,1</t>
  </si>
  <si>
    <t>ΦΑΝΗ</t>
  </si>
  <si>
    <t>ΠΑΝΑΓΙΩΤΑ</t>
  </si>
  <si>
    <t>Χ236239</t>
  </si>
  <si>
    <t>ΚΑΤΣΑΡΑ</t>
  </si>
  <si>
    <t>Χ765570</t>
  </si>
  <si>
    <t>ΚΑΛΑΦΑΤΗ</t>
  </si>
  <si>
    <t>ΑΖ644488</t>
  </si>
  <si>
    <t>ΠΟΥΛΟΠΟΥΛΟΥ</t>
  </si>
  <si>
    <t>ΑΜ252000</t>
  </si>
  <si>
    <t>ΑΗ650512</t>
  </si>
  <si>
    <t>955,9</t>
  </si>
  <si>
    <t>1693,9</t>
  </si>
  <si>
    <t>ΤΡΙΑΝΤΑΦΥΛΛΟΥ</t>
  </si>
  <si>
    <t>Ξ651000</t>
  </si>
  <si>
    <t>ΠΟΛΥΧΡΟΝΙΑΔΟΥ</t>
  </si>
  <si>
    <t>ΑΖ692790</t>
  </si>
  <si>
    <t>1692,9</t>
  </si>
  <si>
    <t>ΒΑΒΟΥΛΙΩΤΗ</t>
  </si>
  <si>
    <t>ΑΒ987943</t>
  </si>
  <si>
    <t>1692,8</t>
  </si>
  <si>
    <t>ΚΟΥΖΟΥΚΙΔΟΥ</t>
  </si>
  <si>
    <t>ΑΗ362784</t>
  </si>
  <si>
    <t>1692,3</t>
  </si>
  <si>
    <t>ΚΑΚΑΪΤΣΑ</t>
  </si>
  <si>
    <t>ΒΑΪΟΣ</t>
  </si>
  <si>
    <t>ΑΕ318984</t>
  </si>
  <si>
    <t>ΛΟΥΓΓΟΥ</t>
  </si>
  <si>
    <t>ΑΚ294126</t>
  </si>
  <si>
    <t>1690,5</t>
  </si>
  <si>
    <t>ΜΠΙΚΑ</t>
  </si>
  <si>
    <t xml:space="preserve">ΣΤΥΛΙΑΝΗ </t>
  </si>
  <si>
    <t xml:space="preserve">ΑΘΑΝΑΣΙΟΣ </t>
  </si>
  <si>
    <t>Χ236777</t>
  </si>
  <si>
    <t>ΚΑΡΑΓΚΟΥΝΗΣ</t>
  </si>
  <si>
    <t>ΑΕ655108</t>
  </si>
  <si>
    <t>ΚΑΤΣΟΥΛΗ</t>
  </si>
  <si>
    <t>ΛΕΩΝΙΔΑΣ</t>
  </si>
  <si>
    <t>Ρ190543</t>
  </si>
  <si>
    <t>1688,5</t>
  </si>
  <si>
    <t>ΝΑΝΤΕΖΝΤΑ</t>
  </si>
  <si>
    <t>ΑΑ260299</t>
  </si>
  <si>
    <t>ΤΖΗΜΑ</t>
  </si>
  <si>
    <t>Χ974991</t>
  </si>
  <si>
    <t>ΒΟΟΥΤΣΟΚ</t>
  </si>
  <si>
    <t>ΝΙΚΟΛΙΝΑ</t>
  </si>
  <si>
    <t>ΖΝΤΕΝΙΕΚ</t>
  </si>
  <si>
    <t>Ρ759610</t>
  </si>
  <si>
    <t>1029,6</t>
  </si>
  <si>
    <t>1687,6</t>
  </si>
  <si>
    <t>ΧΡΙΣΤΟΔΟΥΛΟΥ</t>
  </si>
  <si>
    <t>ΑΚ932778</t>
  </si>
  <si>
    <t>1687,5</t>
  </si>
  <si>
    <t>ΣΑΜΑΡΑ</t>
  </si>
  <si>
    <t>ΧΡΥΣΟΒΑΛΑΝΤΟ</t>
  </si>
  <si>
    <t>ΑΖ167612</t>
  </si>
  <si>
    <t>1687,4</t>
  </si>
  <si>
    <t>ΖΕΡΒΟΠΟΥΛΟΥ</t>
  </si>
  <si>
    <t>ΑΒ350245</t>
  </si>
  <si>
    <t>ΘΕΡΜΑΣΩΝΗ</t>
  </si>
  <si>
    <t>ΕΙΡΗΝΗ ΑΝΤΙΟΠΗ</t>
  </si>
  <si>
    <t>ΑΒ158554</t>
  </si>
  <si>
    <t>1018,6</t>
  </si>
  <si>
    <t>1686,6</t>
  </si>
  <si>
    <t>ΣΩΤΗΡΙΑΔΟΥ</t>
  </si>
  <si>
    <t>ΑΕ180248</t>
  </si>
  <si>
    <t>ΜΠΕΚΙΑΡΗ</t>
  </si>
  <si>
    <t>ΑΖ150184</t>
  </si>
  <si>
    <t>887,7</t>
  </si>
  <si>
    <t>1685,7</t>
  </si>
  <si>
    <t>ΝΙΚΟΛΑΙΔΟΥ</t>
  </si>
  <si>
    <t>Τ318636</t>
  </si>
  <si>
    <t>897,6</t>
  </si>
  <si>
    <t>1685,6</t>
  </si>
  <si>
    <t>ΔΗΜΗΤΡΙΑΔΟΥ</t>
  </si>
  <si>
    <t>ΝΙΚΟΛΑΟΣ ΚΩΝ/ΝΟΣ</t>
  </si>
  <si>
    <t>ΑΕ337275</t>
  </si>
  <si>
    <t>1685,4</t>
  </si>
  <si>
    <t>ΚΟΡΔΕΛΛΑ</t>
  </si>
  <si>
    <t>ΑΛΚΜΗΝΗ</t>
  </si>
  <si>
    <t>ΑΝ316348</t>
  </si>
  <si>
    <t>ΤΣΙΤΟΥΡΑ</t>
  </si>
  <si>
    <t>ΑΝ032541</t>
  </si>
  <si>
    <t>ΚΑΤΣΑΡΟΣ</t>
  </si>
  <si>
    <t>ΑΚ903476</t>
  </si>
  <si>
    <t>ΣΙΔΗΡΟΠΟΥΛΟΣ</t>
  </si>
  <si>
    <t>ΑΗ198911</t>
  </si>
  <si>
    <t>ΤΡΑΝΟΠΟΥΛΟΥ</t>
  </si>
  <si>
    <t>ΙΟΡΔΑΝΑ</t>
  </si>
  <si>
    <t>ΑΗ918064</t>
  </si>
  <si>
    <t>ΑΜ688089</t>
  </si>
  <si>
    <t>896,5</t>
  </si>
  <si>
    <t>1684,5</t>
  </si>
  <si>
    <t>ΚΟΤΖΑΜΑΝΙΔΟΥ</t>
  </si>
  <si>
    <t>Ρ743022</t>
  </si>
  <si>
    <t>1684,3</t>
  </si>
  <si>
    <t>ΝΑΝΟΥ</t>
  </si>
  <si>
    <t>ΑΒ641134</t>
  </si>
  <si>
    <t>1682,6</t>
  </si>
  <si>
    <t>ΓΡΑΙΚΟΥ</t>
  </si>
  <si>
    <t>ΑΖ183715</t>
  </si>
  <si>
    <t>1682,5</t>
  </si>
  <si>
    <t>ΖΑΦΕΙΡΙΟΥ</t>
  </si>
  <si>
    <t>Π979690</t>
  </si>
  <si>
    <t>874,5</t>
  </si>
  <si>
    <t>ΤΖΙΤΖΙΛΑΚΗ</t>
  </si>
  <si>
    <t>ΑΙ715034</t>
  </si>
  <si>
    <t>893,2</t>
  </si>
  <si>
    <t>1681,2</t>
  </si>
  <si>
    <t>ΚΟΛΤΣΙΟΥ</t>
  </si>
  <si>
    <t>AΙ 164082</t>
  </si>
  <si>
    <t>ΨΗΛΟΠΑΝΑΓΙΩΤΗ</t>
  </si>
  <si>
    <t>Ρ256165</t>
  </si>
  <si>
    <t>ΒΕΛΙΚΗ</t>
  </si>
  <si>
    <t>ΑΖ194807</t>
  </si>
  <si>
    <t>ΒΑΣΣΑΚΗ</t>
  </si>
  <si>
    <t>ΛΑΜΠΡΙΝΗ</t>
  </si>
  <si>
    <t>ΜΟΔΕΣΤΟΣ</t>
  </si>
  <si>
    <t>Π978805</t>
  </si>
  <si>
    <t>ΤΣΕΦΟΥ</t>
  </si>
  <si>
    <t>ΜΑΡΙΕΤΑ</t>
  </si>
  <si>
    <t>ΓΙΩΤΗΣ</t>
  </si>
  <si>
    <t>ΑΙ740411</t>
  </si>
  <si>
    <t>ΒΑΤΜΑΝΙΔΟΥ</t>
  </si>
  <si>
    <t>Τ833157</t>
  </si>
  <si>
    <t>1677,7</t>
  </si>
  <si>
    <t>ΡΕΠΟΥΣΗΣ</t>
  </si>
  <si>
    <t>ΣΠΥΡΙΔΩΝ-ΓΕΡΑΣΙΜΟΣ</t>
  </si>
  <si>
    <t>ΑΕ510248</t>
  </si>
  <si>
    <t>1677,5</t>
  </si>
  <si>
    <t>ΜΕΣΚΟΣ</t>
  </si>
  <si>
    <t>ΧΡΥΣΑΦΗΣ</t>
  </si>
  <si>
    <t>ΑΒ722150</t>
  </si>
  <si>
    <t>1677,3</t>
  </si>
  <si>
    <t>ΤΖΙΛΗΣ</t>
  </si>
  <si>
    <t>ΑΒ706375</t>
  </si>
  <si>
    <t>1087,9</t>
  </si>
  <si>
    <t>1675,9</t>
  </si>
  <si>
    <t>ΑΖ794960</t>
  </si>
  <si>
    <t>907,5</t>
  </si>
  <si>
    <t>1675,5</t>
  </si>
  <si>
    <t>ΑΣΙΚΗ</t>
  </si>
  <si>
    <t>ΑΚ924534</t>
  </si>
  <si>
    <t>ΜΩΡΑΙΔΟΥ</t>
  </si>
  <si>
    <t>Χ226993</t>
  </si>
  <si>
    <t>1674,7</t>
  </si>
  <si>
    <t>ΓΕΡΑΚΗ</t>
  </si>
  <si>
    <t>ΜΑΡΚΟΣ</t>
  </si>
  <si>
    <t>Φ176779</t>
  </si>
  <si>
    <t>1036,2</t>
  </si>
  <si>
    <t>1674,2</t>
  </si>
  <si>
    <t>ΣΑΙΣΑΝΑ</t>
  </si>
  <si>
    <t>ΑΗ080025</t>
  </si>
  <si>
    <t>915,2</t>
  </si>
  <si>
    <t>1673,2</t>
  </si>
  <si>
    <t>ΖΑΠΡΙΑΝΗ</t>
  </si>
  <si>
    <t>ΣΤΟΓΙΑΝΝΗΣ</t>
  </si>
  <si>
    <t>Ξ805563</t>
  </si>
  <si>
    <t>ΝΤΖΟΥΦΡΑΣ</t>
  </si>
  <si>
    <t>Μ138400</t>
  </si>
  <si>
    <t>ΧΑΛΚΟΠΟΥΛΟΥ</t>
  </si>
  <si>
    <t>ΙΦΙΓΕΝΕΙΑ</t>
  </si>
  <si>
    <t>ΑΖ169197</t>
  </si>
  <si>
    <t>ΑΝΘΟΠΟΥΛΟΣ</t>
  </si>
  <si>
    <t>ΝΕΟΦΥΤΟΣ</t>
  </si>
  <si>
    <t>ΠΟΛΥΚΑΡΠΟΣ</t>
  </si>
  <si>
    <t>ΑΖ155572</t>
  </si>
  <si>
    <t>ΑΡΑΙΤΖΟΓΛΟΥ</t>
  </si>
  <si>
    <t>Ρ822593</t>
  </si>
  <si>
    <t>ΚΑΡΑΒΑΣΙΛΗ</t>
  </si>
  <si>
    <t>ΜΑΡΘΑ</t>
  </si>
  <si>
    <t>ΝΙΚΟΣ</t>
  </si>
  <si>
    <t>Σ766993</t>
  </si>
  <si>
    <t>ΒΕΛΙΣΣΑΡΗ</t>
  </si>
  <si>
    <t>ΑΕ196632</t>
  </si>
  <si>
    <t>ΣΧΟΙΝΑ</t>
  </si>
  <si>
    <t>ΑΜ706751</t>
  </si>
  <si>
    <t>ΝΙΚΟΛΤΣΙΟΥ</t>
  </si>
  <si>
    <t>ΠΑΣΧΑΛΙΑ</t>
  </si>
  <si>
    <t>Ρ971508</t>
  </si>
  <si>
    <t>1672,9</t>
  </si>
  <si>
    <t>ΠΛΕΣΣΑ</t>
  </si>
  <si>
    <t>ΑΑ007319</t>
  </si>
  <si>
    <t>1672,6</t>
  </si>
  <si>
    <t>ΠΛΕΞΙΔΑ</t>
  </si>
  <si>
    <t>ΑΝΝΟΥΛΑ</t>
  </si>
  <si>
    <t>Ρ468530</t>
  </si>
  <si>
    <t>1014,2</t>
  </si>
  <si>
    <t>1672,2</t>
  </si>
  <si>
    <t>ΤΖΙΑΣΤΑ</t>
  </si>
  <si>
    <t>Χ913453</t>
  </si>
  <si>
    <t>1024,1</t>
  </si>
  <si>
    <t>1672,1</t>
  </si>
  <si>
    <t>ΜΠΑΛΑΟΥΡΑ</t>
  </si>
  <si>
    <t>ΣΠΥΡΙΔΟΥΛΑ</t>
  </si>
  <si>
    <t>ΑΖ477377</t>
  </si>
  <si>
    <t>ΚΟΦΙΝΑ</t>
  </si>
  <si>
    <t>Τ794087</t>
  </si>
  <si>
    <t>ΓΥΦΤΟΠΟΥΛΟΥ</t>
  </si>
  <si>
    <t>Φ340768</t>
  </si>
  <si>
    <t>1671,8</t>
  </si>
  <si>
    <t>ΜΑΝΘΟΣ</t>
  </si>
  <si>
    <t>ΑΗ693749</t>
  </si>
  <si>
    <t>ΠΑΠΑΔΗΜΗΤΡΙΟΥ</t>
  </si>
  <si>
    <t>ΑΗ271884</t>
  </si>
  <si>
    <t>ΜΑΥΡΟΓΙΑΝΝΗ</t>
  </si>
  <si>
    <t>Ρ736705</t>
  </si>
  <si>
    <t>ΑΛΤΑΝΤΣΙΔΟΥ</t>
  </si>
  <si>
    <t>ΑΚ902355</t>
  </si>
  <si>
    <t>1669,3</t>
  </si>
  <si>
    <t>ΖΙΓΚΑ</t>
  </si>
  <si>
    <t>ΑΖ195791</t>
  </si>
  <si>
    <t>ΧΟΥΙΑΖΗ</t>
  </si>
  <si>
    <t>ΑΙ178727</t>
  </si>
  <si>
    <t>1030,7</t>
  </si>
  <si>
    <t>1668,7</t>
  </si>
  <si>
    <t>ΚΙΤΣΟΥΛΗ</t>
  </si>
  <si>
    <t>ΑΓΑΘΗ</t>
  </si>
  <si>
    <t>ΑΕ794283</t>
  </si>
  <si>
    <t>1668,5</t>
  </si>
  <si>
    <t>ΚΩΣΤΟΠΟΥΛΟΥ</t>
  </si>
  <si>
    <t>ΚΟΣΜΑΣ</t>
  </si>
  <si>
    <t>Χ224032</t>
  </si>
  <si>
    <t>ΜΑΓΝΗΣΑΛΗ</t>
  </si>
  <si>
    <t>ΟΔΥΣΣΕΥΣ</t>
  </si>
  <si>
    <t>ΑΑ453361</t>
  </si>
  <si>
    <t>ΠΑΠΑΖΟΓΛΟΥ</t>
  </si>
  <si>
    <t>ΦΛΩΡΟΣ</t>
  </si>
  <si>
    <t>Φ170086</t>
  </si>
  <si>
    <t>1667,7</t>
  </si>
  <si>
    <t>ΜΟΥΡΟΥΖΙΔΟΥ</t>
  </si>
  <si>
    <t>ΑΚ293006</t>
  </si>
  <si>
    <t>1667,4</t>
  </si>
  <si>
    <t>ΑΡΒΥΘΗ</t>
  </si>
  <si>
    <t>ΑΡΕΤΗ</t>
  </si>
  <si>
    <t>ΑΖ162813</t>
  </si>
  <si>
    <t>ΠΕΤΣΕΤΑ</t>
  </si>
  <si>
    <t>ΠΑΥΛΟΣ</t>
  </si>
  <si>
    <t>ΑΙ292058</t>
  </si>
  <si>
    <t>1667,1</t>
  </si>
  <si>
    <t>ΙΩΑΝΝΟΥ</t>
  </si>
  <si>
    <t>ΑΕ165747</t>
  </si>
  <si>
    <t>ΑΝΔΡΙΑΝΑ</t>
  </si>
  <si>
    <t>ΑΚ313534</t>
  </si>
  <si>
    <t>ΠΑΠΑΙΩΑΝΝΟΥ</t>
  </si>
  <si>
    <t>ΑΖ857142</t>
  </si>
  <si>
    <t>ΚΥΡΙΑΚΙΔΟΥ</t>
  </si>
  <si>
    <t>ΑΖ888020</t>
  </si>
  <si>
    <t>1666,5</t>
  </si>
  <si>
    <t>ΤΖΙΑΝΑ</t>
  </si>
  <si>
    <t>Χ223278</t>
  </si>
  <si>
    <t>1666,3</t>
  </si>
  <si>
    <t>ΝΤΟΥΡΑ</t>
  </si>
  <si>
    <t>ΕΥΡΥΔΙΚΗ ΖΩΗ</t>
  </si>
  <si>
    <t>Φ288932</t>
  </si>
  <si>
    <t>ΚΥΠΡΙΤΙΔΟΥ</t>
  </si>
  <si>
    <t>ΙΟΡΔΑΝΗΣ</t>
  </si>
  <si>
    <t>Ρ718580</t>
  </si>
  <si>
    <t>1665,5</t>
  </si>
  <si>
    <t>ΚΛΕΙΔΑΡΑ</t>
  </si>
  <si>
    <t>ΥΠΑΠΑΝΤΗ</t>
  </si>
  <si>
    <t>Ρ715531</t>
  </si>
  <si>
    <t>ΧΑΤΖΗΜΙΧΑΗΛ</t>
  </si>
  <si>
    <t>ΑΖ931419</t>
  </si>
  <si>
    <t>1664,5</t>
  </si>
  <si>
    <t>ΗΛΙΑΔΟΥ</t>
  </si>
  <si>
    <t>Κυριακή</t>
  </si>
  <si>
    <t>ΑΖ695810</t>
  </si>
  <si>
    <t>ΘΕΟΤΟΚΑΤΟΣ</t>
  </si>
  <si>
    <t>ΑΜ648667</t>
  </si>
  <si>
    <t>1663,9</t>
  </si>
  <si>
    <t>ΦΩΤΑΚΟΥ</t>
  </si>
  <si>
    <t>ΑΕ173080</t>
  </si>
  <si>
    <t>1662,4</t>
  </si>
  <si>
    <t>ΑΒ882880</t>
  </si>
  <si>
    <t>1662,3</t>
  </si>
  <si>
    <t>ΜΗΧΑΗΛΙΔΟΥ</t>
  </si>
  <si>
    <t>ΚΡΥΣΤΑΛΛΙΑ</t>
  </si>
  <si>
    <t>Ξ815487</t>
  </si>
  <si>
    <t>1662,2</t>
  </si>
  <si>
    <t>ΑΖ895227</t>
  </si>
  <si>
    <t>ΑΣΛΑΝΙΔΟΥ</t>
  </si>
  <si>
    <t>ΑΜ671270</t>
  </si>
  <si>
    <t>1040,6</t>
  </si>
  <si>
    <t>1658,6</t>
  </si>
  <si>
    <t>ΚΟΥΚΟΥΛΗΣ</t>
  </si>
  <si>
    <t>ΘΕΟΦΑΝΗΣ</t>
  </si>
  <si>
    <t>ΑΖ333184</t>
  </si>
  <si>
    <t>ΓΚΑΓΚΑΝΙΑΡΗΣ</t>
  </si>
  <si>
    <t>ΑΧΙΛΛΕΥΣ</t>
  </si>
  <si>
    <t>ΑΜ672332</t>
  </si>
  <si>
    <t>1657,9</t>
  </si>
  <si>
    <t>ΚΟΙΝΑ</t>
  </si>
  <si>
    <t>ΛΑΜΠΑΔΗ</t>
  </si>
  <si>
    <t>ΑΜ699174</t>
  </si>
  <si>
    <t>1657,5</t>
  </si>
  <si>
    <t>ΠΛΙΑΜΕΡΗ</t>
  </si>
  <si>
    <t>ΓΙΑΝΝΟΥΛΑ-ΝΙΚΗ</t>
  </si>
  <si>
    <t>Σ775108</t>
  </si>
  <si>
    <t>ΜΑΥΡΟΜΑΤΗ</t>
  </si>
  <si>
    <t>ΝΙΚΟΛΕΤΑ</t>
  </si>
  <si>
    <t>Ρ158231</t>
  </si>
  <si>
    <t>819,5</t>
  </si>
  <si>
    <t>ΡΑΔΙΣΗ</t>
  </si>
  <si>
    <t>ΑΕ642243</t>
  </si>
  <si>
    <t>1657,3</t>
  </si>
  <si>
    <t>ΠΑΠΑΓΑΛΗ</t>
  </si>
  <si>
    <t>ΑΗ175375</t>
  </si>
  <si>
    <t>1069,2</t>
  </si>
  <si>
    <t>1657,2</t>
  </si>
  <si>
    <t>ΤΡΑΧΑΝΑ</t>
  </si>
  <si>
    <t>Π821944</t>
  </si>
  <si>
    <t>888,8</t>
  </si>
  <si>
    <t>1656,8</t>
  </si>
  <si>
    <t>ΑΡΖΟΓΛΟΥ</t>
  </si>
  <si>
    <t>Π 468458</t>
  </si>
  <si>
    <t>ΣΤΟΓΙΑΝΝΗ</t>
  </si>
  <si>
    <t>Σ774875</t>
  </si>
  <si>
    <t>786,5</t>
  </si>
  <si>
    <t>1654,5</t>
  </si>
  <si>
    <t>ΝΙΚΟΛΟΠΟΥΛΟΥ</t>
  </si>
  <si>
    <t>Σ844864</t>
  </si>
  <si>
    <t>1653,5</t>
  </si>
  <si>
    <t>ΤΣΙΟΥΤΣΙΟΥ</t>
  </si>
  <si>
    <t>ΑΜ368184</t>
  </si>
  <si>
    <t>ΑΥΛΟΓΙΑΡΗ</t>
  </si>
  <si>
    <t xml:space="preserve">ΣΩΤΗΡΙΟΣ </t>
  </si>
  <si>
    <t>ΑΜ684390</t>
  </si>
  <si>
    <t>885,5</t>
  </si>
  <si>
    <t>ΤΖΙΒΙΝΙΚΟΣ</t>
  </si>
  <si>
    <t>ΑΜ388105</t>
  </si>
  <si>
    <t>884,4</t>
  </si>
  <si>
    <t>1652,4</t>
  </si>
  <si>
    <t>ΣΑΚΚΟΥ</t>
  </si>
  <si>
    <t>ΗΛΙΑΝΝΑ</t>
  </si>
  <si>
    <t>ΑΖ835721</t>
  </si>
  <si>
    <t>ΜΠΑΝΤΗΣ</t>
  </si>
  <si>
    <t>Ξ837558</t>
  </si>
  <si>
    <t>ΔΑΛΙΑΝΟΠΟΥΛΟΥ</t>
  </si>
  <si>
    <t>ΑΖ651439</t>
  </si>
  <si>
    <t>ΣΩΜΑΤΑΡΙΔΟΥ</t>
  </si>
  <si>
    <t>ΓΕΣΘΗΜΑΝΗ</t>
  </si>
  <si>
    <t>ΑΚ304247</t>
  </si>
  <si>
    <t>1651,4</t>
  </si>
  <si>
    <t>ΚΡΙΤΣΙΛΙΔΟΥ</t>
  </si>
  <si>
    <t>ΠΑΡΘΕΝΑ</t>
  </si>
  <si>
    <t>ΑΕ840682</t>
  </si>
  <si>
    <t>983,4</t>
  </si>
  <si>
    <t>ΝΑΣΚΟΠΟΥΛΟΥ</t>
  </si>
  <si>
    <t>ΘΕΟΔΟΤΑ</t>
  </si>
  <si>
    <t>ΑΗ153247</t>
  </si>
  <si>
    <t>ΜΠΙΚΑΣ</t>
  </si>
  <si>
    <t>ΑΑ255096</t>
  </si>
  <si>
    <t>1650,6</t>
  </si>
  <si>
    <t>ΓΚΕΓΚΑ</t>
  </si>
  <si>
    <t>ΑΕ190959</t>
  </si>
  <si>
    <t>1650,5</t>
  </si>
  <si>
    <t>ΚΟΥΚΟΥΤΟΥΔΗ</t>
  </si>
  <si>
    <t>Φ161525</t>
  </si>
  <si>
    <t>1649,5</t>
  </si>
  <si>
    <t>ΑΔΕΛΙΝΗ</t>
  </si>
  <si>
    <t>ΑΕ647027</t>
  </si>
  <si>
    <t>ΚΟΥΤΕΝΤΑΚΗ</t>
  </si>
  <si>
    <t>ΗΡΑΚΛΗΣ</t>
  </si>
  <si>
    <t>ΑΕ457921</t>
  </si>
  <si>
    <t>850,3</t>
  </si>
  <si>
    <t>1648,3</t>
  </si>
  <si>
    <t>ΖΙΧΝΑΛΗ</t>
  </si>
  <si>
    <t>ΑΒ730122</t>
  </si>
  <si>
    <t>ΜΟΥΡΑΤΙΔΟΥ</t>
  </si>
  <si>
    <t>ΑΚ278577</t>
  </si>
  <si>
    <t>ΜΠΑΜΠΑΤΣΙΚΟΥ</t>
  </si>
  <si>
    <t>ΦΙΛΑΡΕΤΗ</t>
  </si>
  <si>
    <t>ΑΖ188219</t>
  </si>
  <si>
    <t>ΜΑΚΡΥΓΙΑΝΝΗ</t>
  </si>
  <si>
    <t>ΠΕΤΡΟΥΛΑ</t>
  </si>
  <si>
    <t>ΑΕ940775</t>
  </si>
  <si>
    <t>ΣΠΗΛΙΟΠΟΥΛΟΣ</t>
  </si>
  <si>
    <t>Χ670231</t>
  </si>
  <si>
    <t>ΧΑΤΖΗΓΑΛΗΝΗ</t>
  </si>
  <si>
    <t>ΑΙ362171</t>
  </si>
  <si>
    <t>ΚΑΡΡΑ</t>
  </si>
  <si>
    <t>ΑΜ661400</t>
  </si>
  <si>
    <t>1647,6</t>
  </si>
  <si>
    <t>ΚΑΠΕΤΑΝΕΛΗ</t>
  </si>
  <si>
    <t>ΑΜ655851</t>
  </si>
  <si>
    <t>1647,4</t>
  </si>
  <si>
    <t>Γιαννοπούλου</t>
  </si>
  <si>
    <t>Ευσταθία</t>
  </si>
  <si>
    <t>ΑΒ653122</t>
  </si>
  <si>
    <t>1647,2</t>
  </si>
  <si>
    <t>ΤΣΙΜΠΙΔΑ</t>
  </si>
  <si>
    <t>Χ483401</t>
  </si>
  <si>
    <t>ΜΠΙΝΙΑΡΗ</t>
  </si>
  <si>
    <t>ΑΚ860683</t>
  </si>
  <si>
    <t>ΠΑΠΑΝΙΚΟΛΑΟΥ</t>
  </si>
  <si>
    <t>Ρ616682</t>
  </si>
  <si>
    <t>1646,5</t>
  </si>
  <si>
    <t>ΜΠΑΛΑΤΣΟΥΚΑ</t>
  </si>
  <si>
    <t>ΑΖ197530</t>
  </si>
  <si>
    <t>ΜΟΥΤΕΒΕΛΗ</t>
  </si>
  <si>
    <t>ΑΜ273437</t>
  </si>
  <si>
    <t>1645,5</t>
  </si>
  <si>
    <t>ΠΑΠΑΔΟΠΟΥΛΟΥ</t>
  </si>
  <si>
    <t>Ν699391</t>
  </si>
  <si>
    <t>AH164050</t>
  </si>
  <si>
    <t>1027,4</t>
  </si>
  <si>
    <t>1645,4</t>
  </si>
  <si>
    <t>ΔΗΜΟΥΔΗ</t>
  </si>
  <si>
    <t>ΑΙ194003</t>
  </si>
  <si>
    <t>ΜΠΟΥΡΑΚΗ</t>
  </si>
  <si>
    <t>ΑΙ464168</t>
  </si>
  <si>
    <t>ΤΥΜΠΑ</t>
  </si>
  <si>
    <t>ΜΕΡΟΠΗ</t>
  </si>
  <si>
    <t>ΣΩΤΗΡΗΣ</t>
  </si>
  <si>
    <t>Σ457911</t>
  </si>
  <si>
    <t>1644,7</t>
  </si>
  <si>
    <t>ΜΗΤΤΑ</t>
  </si>
  <si>
    <t>ΑΙ550683</t>
  </si>
  <si>
    <t>ΠΑΤΣΙΑ</t>
  </si>
  <si>
    <t>ΑΑ431000</t>
  </si>
  <si>
    <t>ΞΑΝΤΙΝΙΔΟΥ</t>
  </si>
  <si>
    <t>ΑΚ310791</t>
  </si>
  <si>
    <t>1642,9</t>
  </si>
  <si>
    <t>ΓΚΑΝΙΑ</t>
  </si>
  <si>
    <t>Ξ722267</t>
  </si>
  <si>
    <t>1642,5</t>
  </si>
  <si>
    <t>ΖΑΓΚΙΔΟΥ</t>
  </si>
  <si>
    <t>ΜΑΡΙΑΝΘΗ</t>
  </si>
  <si>
    <t>ΑΒ467286</t>
  </si>
  <si>
    <t>ΣΓΟΥΡΑΚΗ</t>
  </si>
  <si>
    <t>Π159851</t>
  </si>
  <si>
    <t>1642,4</t>
  </si>
  <si>
    <t>ΠΕΓΙΟΥΔΗ</t>
  </si>
  <si>
    <t>ΧΡΥΣΗ</t>
  </si>
  <si>
    <t>ΑΒ686719</t>
  </si>
  <si>
    <t>1642,1</t>
  </si>
  <si>
    <t>ΑΒΡΑΜΙΔΟΥ</t>
  </si>
  <si>
    <t>Ρ157573</t>
  </si>
  <si>
    <t>ΤΣΙΑΧΤΑ</t>
  </si>
  <si>
    <t>ΤΡΙΑΝΤΑΦΥΛΛΟΣ</t>
  </si>
  <si>
    <t>ΑΗ689034</t>
  </si>
  <si>
    <t>ΔΑΝΑΔΑΚΗ</t>
  </si>
  <si>
    <t>ΑΕ660517</t>
  </si>
  <si>
    <t>ΑΣΙΚΟΓΛΟΥ</t>
  </si>
  <si>
    <t>ΣΤΕΛΑ</t>
  </si>
  <si>
    <t>Ρ205969</t>
  </si>
  <si>
    <t>1640,7</t>
  </si>
  <si>
    <t>ΑΗ187215</t>
  </si>
  <si>
    <t>852,5</t>
  </si>
  <si>
    <t>1640,5</t>
  </si>
  <si>
    <t>ΑΗ273791</t>
  </si>
  <si>
    <t>1021,9</t>
  </si>
  <si>
    <t>1639,9</t>
  </si>
  <si>
    <t>ΛΥΚΑΡΤΣΗ</t>
  </si>
  <si>
    <t>ΑΕ186857</t>
  </si>
  <si>
    <t>ΑΛΕΞΙΑΔΗΣ</t>
  </si>
  <si>
    <t>ΒΥΡΩΝ</t>
  </si>
  <si>
    <t>ΚΛΕΟΒΟΥΛΟΣ</t>
  </si>
  <si>
    <t>ΑΖ668269</t>
  </si>
  <si>
    <t>980,1</t>
  </si>
  <si>
    <t>1638,1</t>
  </si>
  <si>
    <t>ΣΤΑΜΟΥΛΗ</t>
  </si>
  <si>
    <t>Σ917117</t>
  </si>
  <si>
    <t>ΑΗ828810</t>
  </si>
  <si>
    <t>ΓΙΑΝΝΟΠΟΥΛΟΣ</t>
  </si>
  <si>
    <t>ΑΜ266653</t>
  </si>
  <si>
    <t>899,8</t>
  </si>
  <si>
    <t>1637,8</t>
  </si>
  <si>
    <t>ΚΑΛΥΒΑΣ</t>
  </si>
  <si>
    <t>ΑΙ840364</t>
  </si>
  <si>
    <t>1637,7</t>
  </si>
  <si>
    <t>ΤΣΕΛΕΠΙΔΗΣ</t>
  </si>
  <si>
    <t>ΣΥΜΕΩΝ</t>
  </si>
  <si>
    <t>ΑΝ211221</t>
  </si>
  <si>
    <t>ΤΣΑΛΔΑΡΗ</t>
  </si>
  <si>
    <t>ΑΕ676278</t>
  </si>
  <si>
    <t>ΚΙΟΥΤΑΧΙΑΛΗ</t>
  </si>
  <si>
    <t>ΓΕΝΟΒΕΦΑ</t>
  </si>
  <si>
    <t>ΑΜ897767</t>
  </si>
  <si>
    <t>ΝΙΝΟΥ</t>
  </si>
  <si>
    <t>ΑΜ274344</t>
  </si>
  <si>
    <t>ΚΑΚΑΝΙΑΡΗ</t>
  </si>
  <si>
    <t>ΑΣΠΑΣΙΑ</t>
  </si>
  <si>
    <t>ΑΚ930179</t>
  </si>
  <si>
    <t>Ρ755274</t>
  </si>
  <si>
    <t>ΓΕΩΡΓΙΑΔΟΥ</t>
  </si>
  <si>
    <t>ΑΓΑΠΗ</t>
  </si>
  <si>
    <t>ΑΕ195809</t>
  </si>
  <si>
    <t>1635,6</t>
  </si>
  <si>
    <t>ΤΣΙΟΥΛΟΥ</t>
  </si>
  <si>
    <t>ΟΥΡΑΝΙΑ</t>
  </si>
  <si>
    <t>ΑΕ454332</t>
  </si>
  <si>
    <t>1635,5</t>
  </si>
  <si>
    <t>ΓΚΕΤΖΙΟΥ</t>
  </si>
  <si>
    <t>ΑΜ656082</t>
  </si>
  <si>
    <t>ΧΑΡΩΝΗ</t>
  </si>
  <si>
    <t>Π352704</t>
  </si>
  <si>
    <t>ΜΑΥΡΟΥΔΗΣ</t>
  </si>
  <si>
    <t>ΑΗ674723</t>
  </si>
  <si>
    <t>ΓΑΛΙΟΤΖΑΚΗ</t>
  </si>
  <si>
    <t>ΜΑΡΙΑ ΕΛΕΝΗ</t>
  </si>
  <si>
    <t>ΝΙΚΑΝΔΡΟΣ</t>
  </si>
  <si>
    <t>ΑΜ119273</t>
  </si>
  <si>
    <t>ΜΠΟΥΣΜΠΟΥ</t>
  </si>
  <si>
    <t>ΔΟΜΝΑ</t>
  </si>
  <si>
    <t>ΑΙ196014</t>
  </si>
  <si>
    <t>1632,6</t>
  </si>
  <si>
    <t>ΚΡΗΤΣΙΟΥΔΗ</t>
  </si>
  <si>
    <t>ΑΗ185353</t>
  </si>
  <si>
    <t>864,6</t>
  </si>
  <si>
    <t>ΤΕΚΤΟΝΙΔΟΥ</t>
  </si>
  <si>
    <t>Φ320390</t>
  </si>
  <si>
    <t>1632,5</t>
  </si>
  <si>
    <t>ΚΡΟΥΣΤΑΛΗ</t>
  </si>
  <si>
    <t>ΑΜ112245</t>
  </si>
  <si>
    <t>1632,4</t>
  </si>
  <si>
    <t>ΜΠΑΛΑΣΚΑ</t>
  </si>
  <si>
    <t>ΑΙ733546</t>
  </si>
  <si>
    <t>1631,2</t>
  </si>
  <si>
    <t>ΠΟΛΥΖΟΣ</t>
  </si>
  <si>
    <t>ΑΚ430031</t>
  </si>
  <si>
    <t>ΚΑΡΡΑΣ</t>
  </si>
  <si>
    <t>ΑΚ572895</t>
  </si>
  <si>
    <t>ΝΑΖΛΙΔΗΣ</t>
  </si>
  <si>
    <t>ΑΚ988739</t>
  </si>
  <si>
    <t>ΑΝΑΣΤΑΣΙΑΔΟΥ</t>
  </si>
  <si>
    <t>ΑΕ910200</t>
  </si>
  <si>
    <t>1628,5</t>
  </si>
  <si>
    <t>ΔΗΜΗΤΡΑΝΤΖΟΣ</t>
  </si>
  <si>
    <t>ΕΥΣΤΡΑΤΙΟΣ</t>
  </si>
  <si>
    <t>ΑΚ868646</t>
  </si>
  <si>
    <t>ΖΑΙΜΗ</t>
  </si>
  <si>
    <t>ΒΛΑΣΙΟΣ</t>
  </si>
  <si>
    <t>ΑΕ326888</t>
  </si>
  <si>
    <t>ΣΤΑΜΑΤΑΚΗ</t>
  </si>
  <si>
    <t>ΑΜ263603</t>
  </si>
  <si>
    <t>1627,8</t>
  </si>
  <si>
    <t>ΠΑΠΑΟΙΚΟΝΟΜΟΥ</t>
  </si>
  <si>
    <t>Ρ461389</t>
  </si>
  <si>
    <t>ΜΠΟΥΡΑΛΗ</t>
  </si>
  <si>
    <t>ΑΜ295750</t>
  </si>
  <si>
    <t>1627,5</t>
  </si>
  <si>
    <t>ΜΑΝΔΡΑΤΖΗ</t>
  </si>
  <si>
    <t>ΑΒ726073</t>
  </si>
  <si>
    <t>ΕΞΩΜΑΝΙΔΟΥ</t>
  </si>
  <si>
    <t>ΑΖ190507</t>
  </si>
  <si>
    <t>ΤΑΧΟΥ</t>
  </si>
  <si>
    <t>Ρ737531</t>
  </si>
  <si>
    <t>1625,7</t>
  </si>
  <si>
    <t>ΜΑΝΔΕΝΙΩΤΗ</t>
  </si>
  <si>
    <t>ΑΖ697932</t>
  </si>
  <si>
    <t>1625,5</t>
  </si>
  <si>
    <t>ΑΝΤΩΝΙΟΥ</t>
  </si>
  <si>
    <t>ΑΙ160266</t>
  </si>
  <si>
    <t>1624,5</t>
  </si>
  <si>
    <t>ΕΛΕΥΘΕΡΟΥΔΗ</t>
  </si>
  <si>
    <t>ΑΙ710591</t>
  </si>
  <si>
    <t>1624,2</t>
  </si>
  <si>
    <t>ΚΟΥΤΣΟΜΗΤΡΟΥ</t>
  </si>
  <si>
    <t>ΑΜ864497</t>
  </si>
  <si>
    <t>ΚΑΚΙΟΥΣΗ</t>
  </si>
  <si>
    <t>ΑΝΤΩΝΙΑ</t>
  </si>
  <si>
    <t>ΑΒ684084</t>
  </si>
  <si>
    <t>1623,5</t>
  </si>
  <si>
    <t>ΤΣΙΠΟΥΡΑ</t>
  </si>
  <si>
    <t>ΑΡΓΥΡΩ</t>
  </si>
  <si>
    <t>ΑΖ834144</t>
  </si>
  <si>
    <t>ΖΩΓΑΚΗ</t>
  </si>
  <si>
    <t>ΣΟΛΩΝ-ΣΤΑΥΡΟΣ</t>
  </si>
  <si>
    <t>ΑΙ255244</t>
  </si>
  <si>
    <t>1622,5</t>
  </si>
  <si>
    <t>ΜΕΝΙΔΙΑΤΗ</t>
  </si>
  <si>
    <t>ΝΑΥΣΙΚΑ</t>
  </si>
  <si>
    <t>ΑΕ690870</t>
  </si>
  <si>
    <t>1622,4</t>
  </si>
  <si>
    <t>ΜΠΟΥΚΟΥΒΑΛΑ</t>
  </si>
  <si>
    <t>ΑΜ368700</t>
  </si>
  <si>
    <t>1622,3</t>
  </si>
  <si>
    <t>ΤΣΑΒΟΥ</t>
  </si>
  <si>
    <t>ΑΜ688105</t>
  </si>
  <si>
    <t>ΗΡΑΚΛΕΙΩΤΟΥ</t>
  </si>
  <si>
    <t>ΑΖ190368</t>
  </si>
  <si>
    <t>ΤΟΥΜΠΟΥΛΗ</t>
  </si>
  <si>
    <t>Χ769717</t>
  </si>
  <si>
    <t>ΛΟΥΠΟΥ</t>
  </si>
  <si>
    <t>ΑΖ927460</t>
  </si>
  <si>
    <t>ΙΩΣΗΦΙΔΟΥ</t>
  </si>
  <si>
    <t>ΑΜΑΡΑΝΤΟΣ</t>
  </si>
  <si>
    <t>ΑΚ266128</t>
  </si>
  <si>
    <t>ΧΑΛΙΑΝΔΡΟΥ</t>
  </si>
  <si>
    <t>ΦΙΛΙΩ</t>
  </si>
  <si>
    <t>ΑΒ145617</t>
  </si>
  <si>
    <t>1003,2</t>
  </si>
  <si>
    <t>1621,2</t>
  </si>
  <si>
    <t>ΑΑ235998</t>
  </si>
  <si>
    <t>ΛΟΚΑ</t>
  </si>
  <si>
    <t>ΑΗ767782</t>
  </si>
  <si>
    <t xml:space="preserve">ΒΑΣΙΛΙΚΗ </t>
  </si>
  <si>
    <t>ΑΙ725563</t>
  </si>
  <si>
    <t>1618,5</t>
  </si>
  <si>
    <t>ΑΚ291271</t>
  </si>
  <si>
    <t>ΖΥΓΟΥΝΑ</t>
  </si>
  <si>
    <t>ΑΙ258144</t>
  </si>
  <si>
    <t>830,5</t>
  </si>
  <si>
    <t>ΒΕΛΩΝΗ</t>
  </si>
  <si>
    <t>ΑΒ444776</t>
  </si>
  <si>
    <t>1618,3</t>
  </si>
  <si>
    <t>ΤΣΙΟΥΔΗΣ</t>
  </si>
  <si>
    <t>ΑΕ162426</t>
  </si>
  <si>
    <t>ΚΡΑΠΗ</t>
  </si>
  <si>
    <t>ΘΩΜΑΗ</t>
  </si>
  <si>
    <t>ΑΙ168622</t>
  </si>
  <si>
    <t>ΓΚΡΕΤΣΙΚΟΥ</t>
  </si>
  <si>
    <t>ΑΜ688177</t>
  </si>
  <si>
    <t>ΝΟΝΟΤΗ</t>
  </si>
  <si>
    <t>ΑΝΑΓΝΩΣΤΗΣ</t>
  </si>
  <si>
    <t>Χ737105</t>
  </si>
  <si>
    <t>1617,6</t>
  </si>
  <si>
    <t>ΠΟΝΤΖΟ</t>
  </si>
  <si>
    <t>ΑΝΤΟΝΙΟ</t>
  </si>
  <si>
    <t>Φ158608</t>
  </si>
  <si>
    <t>929,5</t>
  </si>
  <si>
    <t>1617,5</t>
  </si>
  <si>
    <t>ΤΡΙΑΝΤΑΦΥΛΛΙΔΟΥ</t>
  </si>
  <si>
    <t>ΑΕ699654</t>
  </si>
  <si>
    <t>997,7</t>
  </si>
  <si>
    <t>1615,7</t>
  </si>
  <si>
    <t>ΑΜΠΕΡΙΑΔΟΥ</t>
  </si>
  <si>
    <t>Ξ564002</t>
  </si>
  <si>
    <t>ΣΤΑΓΚΟΥ</t>
  </si>
  <si>
    <t>Χ252552</t>
  </si>
  <si>
    <t>1614,3</t>
  </si>
  <si>
    <t>ΚΩΤΣΙΟΥ</t>
  </si>
  <si>
    <t>Ν711588</t>
  </si>
  <si>
    <t>1613,9</t>
  </si>
  <si>
    <t>ΚΑΝΤΟΛΑ</t>
  </si>
  <si>
    <t>ΑΖ279147</t>
  </si>
  <si>
    <t>1613,7</t>
  </si>
  <si>
    <t>ΤΣΙΟΤΣΙΚΑ</t>
  </si>
  <si>
    <t>Ρ900962</t>
  </si>
  <si>
    <t>1613,5</t>
  </si>
  <si>
    <t>ΤΣΙΟΥΤΣΙΟΥΛΙΚΛΗ</t>
  </si>
  <si>
    <t>ΑΖ840498</t>
  </si>
  <si>
    <t>ΓΑΓΑΛΗ</t>
  </si>
  <si>
    <t>Χ816017</t>
  </si>
  <si>
    <t>844,8</t>
  </si>
  <si>
    <t>1612,8</t>
  </si>
  <si>
    <t>703-702-704</t>
  </si>
  <si>
    <t>ΖΕΜΑΔΑΝΗ</t>
  </si>
  <si>
    <t>ΑΗ392282</t>
  </si>
  <si>
    <t>1612,7</t>
  </si>
  <si>
    <t>ΑΝΔΡΙΤΣΟΥ</t>
  </si>
  <si>
    <t>Φ195482</t>
  </si>
  <si>
    <t>1612,4</t>
  </si>
  <si>
    <t>ΓΡΑΜΜΑΤΙΚΟΥ</t>
  </si>
  <si>
    <t>Χ253520</t>
  </si>
  <si>
    <t>ΑΤΖΕΜΗ</t>
  </si>
  <si>
    <t>ΑΙ730765</t>
  </si>
  <si>
    <t>ΑΕ688603</t>
  </si>
  <si>
    <t>ΧΑΤΖΗΠΟΥΡΓΑΝΗΣ</t>
  </si>
  <si>
    <t>ΑΖ389308</t>
  </si>
  <si>
    <t>1611,5</t>
  </si>
  <si>
    <t>ΔΡΑΓΟΥΤΑ</t>
  </si>
  <si>
    <t>ΑΙ717002</t>
  </si>
  <si>
    <t>ΣΠΥΡΟΓΙΑΝΝΗΣ</t>
  </si>
  <si>
    <t>Π559286</t>
  </si>
  <si>
    <t>ΧΟΝΤΖΙΑ</t>
  </si>
  <si>
    <t>ΑΙ845770</t>
  </si>
  <si>
    <t>1609,5</t>
  </si>
  <si>
    <t>ΠΑΠΑΚΩΣΤΑ</t>
  </si>
  <si>
    <t>ΙΩΑΝΝΑ-ΖΑΦΕΙΡΙΑ</t>
  </si>
  <si>
    <t>ΑΕ647657</t>
  </si>
  <si>
    <t>834,9</t>
  </si>
  <si>
    <t>1608,9</t>
  </si>
  <si>
    <t>ΚΟΥΤΣΟΥΜΠΑΣ</t>
  </si>
  <si>
    <t>ΑΗ872689</t>
  </si>
  <si>
    <t>1020,8</t>
  </si>
  <si>
    <t>1608,8</t>
  </si>
  <si>
    <t>ΖΗΚΑ</t>
  </si>
  <si>
    <t>Χ980801</t>
  </si>
  <si>
    <t>1074,7</t>
  </si>
  <si>
    <t>1608,7</t>
  </si>
  <si>
    <t>ΦΥΚΑΡΗ</t>
  </si>
  <si>
    <t>Χ998548</t>
  </si>
  <si>
    <t>ΔΙΑΜΑΝΤΗ</t>
  </si>
  <si>
    <t>ΑΚ926401</t>
  </si>
  <si>
    <t>ΙΑΚΩΒΙΔΟΥ</t>
  </si>
  <si>
    <t>ΑΖ654687</t>
  </si>
  <si>
    <t>ΚΑΘΑΡΙΟΥ</t>
  </si>
  <si>
    <t>ΑΜ651773</t>
  </si>
  <si>
    <t>ΚΛΗΜΗ</t>
  </si>
  <si>
    <t>ΑΖ935930</t>
  </si>
  <si>
    <t>Ρ358143</t>
  </si>
  <si>
    <t>ΧΡΙΣΤΟΦΟΡΙΔΟΥ</t>
  </si>
  <si>
    <t>Χ236868</t>
  </si>
  <si>
    <t>1607,7</t>
  </si>
  <si>
    <t>ΝΑΚΟΥ</t>
  </si>
  <si>
    <t>Π794424</t>
  </si>
  <si>
    <t>1607,1</t>
  </si>
  <si>
    <t>ΣΤΑΜΑΤΟΠΟΥΛΟΥ</t>
  </si>
  <si>
    <t>ΑΚ874931</t>
  </si>
  <si>
    <t>ΚΑΡΑΜΑΝΙΔΗΣ</t>
  </si>
  <si>
    <t>ΓΕΡΑΣΙΜΟΣ</t>
  </si>
  <si>
    <t>ΚΑΛΛΙΝΙΚΟΣ</t>
  </si>
  <si>
    <t>Φ189739</t>
  </si>
  <si>
    <t>838,2</t>
  </si>
  <si>
    <t>1606,2</t>
  </si>
  <si>
    <t>ΑΝΤΩΝΟΥ</t>
  </si>
  <si>
    <t>ΕΜΜΑΝΟΥΗΛ-ΧΡΗΣΤΟΣ</t>
  </si>
  <si>
    <t>ΑΕ966377</t>
  </si>
  <si>
    <t>1605,5</t>
  </si>
  <si>
    <t>ΤΙΓΚΟΥ</t>
  </si>
  <si>
    <t>ΑΜ275076</t>
  </si>
  <si>
    <t>ΜΑΡΚΟΠΟΥΛΟΣ</t>
  </si>
  <si>
    <t>Φ192117</t>
  </si>
  <si>
    <t>ΣΙΔΕΡΙΔΟΥ</t>
  </si>
  <si>
    <t>ΑΖ298184</t>
  </si>
  <si>
    <t>1602,7</t>
  </si>
  <si>
    <t>ΦΡΟΣΥΝΗ</t>
  </si>
  <si>
    <t>ΑΖ169432</t>
  </si>
  <si>
    <t>1602,5</t>
  </si>
  <si>
    <t>ΜΠΑΖΔΡΙΓΙΑΝΝΗ</t>
  </si>
  <si>
    <t>ΘΩΜΑΣ</t>
  </si>
  <si>
    <t>ΑΖ194328</t>
  </si>
  <si>
    <t>1601,4</t>
  </si>
  <si>
    <t>ΓΛΑΧΤΣΙΟΣ</t>
  </si>
  <si>
    <t>ΑΖ347252</t>
  </si>
  <si>
    <t>1013,1</t>
  </si>
  <si>
    <t>1601,1</t>
  </si>
  <si>
    <t>ΑΕ649409</t>
  </si>
  <si>
    <t>ΓΑΙΡΟΥ</t>
  </si>
  <si>
    <t>ΑΖ680600</t>
  </si>
  <si>
    <t>ΚΙΟΤΣΕΚΟΓΛΟΥ</t>
  </si>
  <si>
    <t>ΑΚ302692</t>
  </si>
  <si>
    <t>ΖΑΧΟΠΟΥΛΟΥ</t>
  </si>
  <si>
    <t>ΑΕ817940</t>
  </si>
  <si>
    <t>1598,1</t>
  </si>
  <si>
    <t>ΤΣΑΠΑΤΟΥ</t>
  </si>
  <si>
    <t>ΑΗ195800</t>
  </si>
  <si>
    <t>ΜΕΡΜΗΓΚΑ</t>
  </si>
  <si>
    <t>ΔΗΜΗΤΡΟΥΛΑ</t>
  </si>
  <si>
    <t>Ξ888465</t>
  </si>
  <si>
    <t>1597,8</t>
  </si>
  <si>
    <t>ΓΙΑΝΝΑΚΟΥΔΑΚΗ</t>
  </si>
  <si>
    <t>ΜΕΛΙΝΑ</t>
  </si>
  <si>
    <t>Π412829</t>
  </si>
  <si>
    <t>Ρ432730</t>
  </si>
  <si>
    <t>1597,5</t>
  </si>
  <si>
    <t>ΧΑΣΙΩΤΗ</t>
  </si>
  <si>
    <t>ΑΚ851543</t>
  </si>
  <si>
    <t>ΛΥΤΡΑ</t>
  </si>
  <si>
    <t>ΑΖ262875</t>
  </si>
  <si>
    <t>1008,7</t>
  </si>
  <si>
    <t>1596,7</t>
  </si>
  <si>
    <t>ΛΕΩΝΙΔΑΚΗ</t>
  </si>
  <si>
    <t>ΑΕ684167</t>
  </si>
  <si>
    <t>ΑΒ690944</t>
  </si>
  <si>
    <t>1595,9</t>
  </si>
  <si>
    <t>ΜΠΑΝΤΣΗ</t>
  </si>
  <si>
    <t>ΕΥΘΥΜΙΑ</t>
  </si>
  <si>
    <t>Φ485163</t>
  </si>
  <si>
    <t>1095,6</t>
  </si>
  <si>
    <t>1595,6</t>
  </si>
  <si>
    <t>ΓΚΡΑΝΑ</t>
  </si>
  <si>
    <t>ΑΒ856198</t>
  </si>
  <si>
    <t>ΛΑΖΑΡΙΔΟΥ</t>
  </si>
  <si>
    <t>ΚΥΒΕΛΗ</t>
  </si>
  <si>
    <t>ΠΑΝΤΕΛΗΣ</t>
  </si>
  <si>
    <t>ΑΙ339546</t>
  </si>
  <si>
    <t>1594,5</t>
  </si>
  <si>
    <t>ΚΑΖΑΝΤΖΙΔΟΥ</t>
  </si>
  <si>
    <t>ΑΖ696660</t>
  </si>
  <si>
    <t>ΠΑΠΑΓΕΩΡΓΙΟΥ</t>
  </si>
  <si>
    <t>ΠΟΛΥΞΕΝΗ</t>
  </si>
  <si>
    <t>ΑΖ648657</t>
  </si>
  <si>
    <t>ΣΤΡΕΠΚΟΥ</t>
  </si>
  <si>
    <t>ΑΕ370752</t>
  </si>
  <si>
    <t>ΔΡΙΓΓΟΠΟΥΛΟΥ</t>
  </si>
  <si>
    <t>ΑΕ181993</t>
  </si>
  <si>
    <t>854,7</t>
  </si>
  <si>
    <t>1592,7</t>
  </si>
  <si>
    <t>ΚΥΡΙΑΚΟΥ</t>
  </si>
  <si>
    <t>ΑΗ190595</t>
  </si>
  <si>
    <t>1592,6</t>
  </si>
  <si>
    <t>ΚΑΠΟΥΛΑ</t>
  </si>
  <si>
    <t>ΦΑΝΙΑ</t>
  </si>
  <si>
    <t>Φ355361</t>
  </si>
  <si>
    <t>ΞΗΡΟΥ</t>
  </si>
  <si>
    <t>ΑΙ736708</t>
  </si>
  <si>
    <t>Προκοπιδου</t>
  </si>
  <si>
    <t>Σοφια</t>
  </si>
  <si>
    <t>Αναστασιος</t>
  </si>
  <si>
    <t>Χ251361</t>
  </si>
  <si>
    <t>ΚΟΥΜΠΙΔΟΥ</t>
  </si>
  <si>
    <t>Χ378740</t>
  </si>
  <si>
    <t>784,3</t>
  </si>
  <si>
    <t>1592,3</t>
  </si>
  <si>
    <t>ΚΕΡΑΜΙΔΟΥ</t>
  </si>
  <si>
    <t>Π782385</t>
  </si>
  <si>
    <t>1591,5</t>
  </si>
  <si>
    <t>Ρ855775</t>
  </si>
  <si>
    <t>1086,8</t>
  </si>
  <si>
    <t>1590,8</t>
  </si>
  <si>
    <t>ΛΙΑΝΙΔΟΥ</t>
  </si>
  <si>
    <t>ΑΝ206157</t>
  </si>
  <si>
    <t>1590,5</t>
  </si>
  <si>
    <t>ΑΚ297608</t>
  </si>
  <si>
    <t>ΧΑΤΖΗΣΑΒΒΙΔΟΥ</t>
  </si>
  <si>
    <t>ΚΛΕΟΝΙΚΗ</t>
  </si>
  <si>
    <t>Φ159437</t>
  </si>
  <si>
    <t>ΜΕΤΑΞΑΚΗ</t>
  </si>
  <si>
    <t>Φ121072</t>
  </si>
  <si>
    <t>ΚΩΣΤΑΜΠΙΤΣΗ</t>
  </si>
  <si>
    <t>ΑΝΘΟΥΛΑ</t>
  </si>
  <si>
    <t>ΑΚ918829</t>
  </si>
  <si>
    <t>1589,3</t>
  </si>
  <si>
    <t>ΚΩΝΣΤΑΝΤΙΝΙΔΟΥ</t>
  </si>
  <si>
    <t>ΑΑ229749</t>
  </si>
  <si>
    <t>1589,2</t>
  </si>
  <si>
    <t>ΚΑΛΙΟΣΗ</t>
  </si>
  <si>
    <t>ΑΙ173529</t>
  </si>
  <si>
    <t>1588,9</t>
  </si>
  <si>
    <t>ΤΣΑΚΛΟΓΛΟΥ</t>
  </si>
  <si>
    <t>ΖΑΦΕΙΡΙΟΣ</t>
  </si>
  <si>
    <t>ΑΗ181060</t>
  </si>
  <si>
    <t>1588,7</t>
  </si>
  <si>
    <t>ΠΑΡΑΣΚΕΥΟΠΟΥΛΟΥ</t>
  </si>
  <si>
    <t>Τ226564</t>
  </si>
  <si>
    <t>1587,9</t>
  </si>
  <si>
    <t>ΑΚΡΙΤΙΔΟΥ</t>
  </si>
  <si>
    <t>ΑΕ651021</t>
  </si>
  <si>
    <t>779,9</t>
  </si>
  <si>
    <t>ΚΑΤΣΙΑΝΤΩΝΗ</t>
  </si>
  <si>
    <t>ΑΝ209835</t>
  </si>
  <si>
    <t>1587,5</t>
  </si>
  <si>
    <t>ΡΑΠΤΟΠΟΥΛΟΣ</t>
  </si>
  <si>
    <t>ΑΙ362695</t>
  </si>
  <si>
    <t>1587,1</t>
  </si>
  <si>
    <t>ΜΠΟΥΖΑ</t>
  </si>
  <si>
    <t>ΑΚ910361</t>
  </si>
  <si>
    <t>ΛΑΔΑΚΗ</t>
  </si>
  <si>
    <t>Ρ343560</t>
  </si>
  <si>
    <t>ΚΟΝΤΟΣΤΕΡΓΙΟΣ</t>
  </si>
  <si>
    <t>ΑΕ328636</t>
  </si>
  <si>
    <t>1586,8</t>
  </si>
  <si>
    <t>ΤΑΓΚΑΛΙΔΟΥ</t>
  </si>
  <si>
    <t>ΑΜ288657</t>
  </si>
  <si>
    <t>1586,2</t>
  </si>
  <si>
    <t>ΣΚΑΡΠΟΥ</t>
  </si>
  <si>
    <t>ΑΛΕΞΙΑ</t>
  </si>
  <si>
    <t>ΑΙ270150</t>
  </si>
  <si>
    <t>ΠΗΒΟΥΛΟΣ</t>
  </si>
  <si>
    <t>ΑΔΑΜΑΝΤΙΟΣ</t>
  </si>
  <si>
    <t>ΑΝ328394</t>
  </si>
  <si>
    <t>ΛΕΜΠΙΔΑΚΗ</t>
  </si>
  <si>
    <t>ΑΙ459197</t>
  </si>
  <si>
    <t>ΣΥΤΜΑΛΙΔΟΥ</t>
  </si>
  <si>
    <t>ΑΛΙΚΗ</t>
  </si>
  <si>
    <t>ΘΡΑΣΥΒΟΥΛΟΣ</t>
  </si>
  <si>
    <t>ΑΖ196344</t>
  </si>
  <si>
    <t>ΚΑΠΙΡΝΑΣ</t>
  </si>
  <si>
    <t>ΑΒ100257</t>
  </si>
  <si>
    <t>1583,5</t>
  </si>
  <si>
    <t>ΑΙΤΖΗ</t>
  </si>
  <si>
    <t>Χ230060</t>
  </si>
  <si>
    <t>993,3</t>
  </si>
  <si>
    <t>1583,3</t>
  </si>
  <si>
    <t>Χ848916</t>
  </si>
  <si>
    <t>ΘΑΝΟΣ</t>
  </si>
  <si>
    <t>ΑΕ691676</t>
  </si>
  <si>
    <t>1582,8</t>
  </si>
  <si>
    <t>ΑΝΑΝΙΑΔΗΣ</t>
  </si>
  <si>
    <t>ΑΖ687541</t>
  </si>
  <si>
    <t>1582,7</t>
  </si>
  <si>
    <t>ΔΕΛΙΑΝΙΔΟΥ</t>
  </si>
  <si>
    <t>ΑΜ941642</t>
  </si>
  <si>
    <t>ΣΟΥΛΕΙΜΙΖΗ</t>
  </si>
  <si>
    <t>ΑΖ256557</t>
  </si>
  <si>
    <t>1582,4</t>
  </si>
  <si>
    <t>ΜΠΟΤΟΣΟΓΛΟΥ</t>
  </si>
  <si>
    <t>Χ261951</t>
  </si>
  <si>
    <t>ΒΡΑΝΙΑΛΗΣ</t>
  </si>
  <si>
    <t>ΑΑ269856</t>
  </si>
  <si>
    <t>ΑΖ692586</t>
  </si>
  <si>
    <t>ΜΠΑΣΙΑΚΤΣΗ</t>
  </si>
  <si>
    <t>ΑΚ259702</t>
  </si>
  <si>
    <t>ΚΟΥΝΤΟΥΡΑΤΖΟΓΛΟΥ</t>
  </si>
  <si>
    <t>ΕΥΣΕΒΙΑ</t>
  </si>
  <si>
    <t>ΑΖ293362</t>
  </si>
  <si>
    <t>1580,5</t>
  </si>
  <si>
    <t>ΔΙΑΛΛΑΣ</t>
  </si>
  <si>
    <t>ΑΙ297925</t>
  </si>
  <si>
    <t>904,2</t>
  </si>
  <si>
    <t>1579,2</t>
  </si>
  <si>
    <t>ΚΑΒΒΑΔΑ</t>
  </si>
  <si>
    <t>Χ446405</t>
  </si>
  <si>
    <t>ΚΩΦΙΔΟΥ</t>
  </si>
  <si>
    <t>Ρ730201</t>
  </si>
  <si>
    <t>ΑΝΔΡΕΑΔΗΣ</t>
  </si>
  <si>
    <t>ΑΖ818294</t>
  </si>
  <si>
    <t>ΜΑΞΙΜΙΔΟΥ</t>
  </si>
  <si>
    <t>ΜΙΛΕΝΑ</t>
  </si>
  <si>
    <t>ΑΒΡΑΑΜ</t>
  </si>
  <si>
    <t>ΑΝ220784</t>
  </si>
  <si>
    <t>ΣΤΕΦΑΝΙΑ</t>
  </si>
  <si>
    <t>Φ151664</t>
  </si>
  <si>
    <t>ΔΡΑΚΟΥΛΗΣ</t>
  </si>
  <si>
    <t>ΣΤΕΦΑΝΟΣ</t>
  </si>
  <si>
    <t>ΑΕ686053</t>
  </si>
  <si>
    <t>1577,5</t>
  </si>
  <si>
    <t>ΦΙΔΑΝΗ</t>
  </si>
  <si>
    <t>Χ742438</t>
  </si>
  <si>
    <t>1577,3</t>
  </si>
  <si>
    <t>ΤΣΙΒΟΥΛΑΣ</t>
  </si>
  <si>
    <t>ΑΚΡΙΒΟΣ</t>
  </si>
  <si>
    <t>ΑΕ847774</t>
  </si>
  <si>
    <t>808,5</t>
  </si>
  <si>
    <t>1576,5</t>
  </si>
  <si>
    <t>ΓΡΗΓΟΡΙΑΔΟΥ</t>
  </si>
  <si>
    <t>ΑΚ280958</t>
  </si>
  <si>
    <t>1576,4</t>
  </si>
  <si>
    <t>ΚΙΟΥΠΚΙΟΛΗ</t>
  </si>
  <si>
    <t>ΑΗ172286</t>
  </si>
  <si>
    <t>807,4</t>
  </si>
  <si>
    <t>1575,4</t>
  </si>
  <si>
    <t>ΒΕΣΚΟΥΚΗ</t>
  </si>
  <si>
    <t>ΘΕΩΝΗ</t>
  </si>
  <si>
    <t>ΑΜ319634</t>
  </si>
  <si>
    <t>ΠΑΓΚΑΚΗ</t>
  </si>
  <si>
    <t>Σ471974</t>
  </si>
  <si>
    <t>966,9</t>
  </si>
  <si>
    <t>1573,9</t>
  </si>
  <si>
    <t>Φ313330</t>
  </si>
  <si>
    <t>985,6</t>
  </si>
  <si>
    <t>1573,6</t>
  </si>
  <si>
    <t>ΣΥΜΕΛΑ</t>
  </si>
  <si>
    <t>ΚΑΛΕΜΟΥ</t>
  </si>
  <si>
    <t>ΑΙ196545</t>
  </si>
  <si>
    <t>1573,5</t>
  </si>
  <si>
    <t>ΚΟΥΖΑ</t>
  </si>
  <si>
    <t>ΒΕΝΙΑΜΙΝ</t>
  </si>
  <si>
    <t>Τ816011</t>
  </si>
  <si>
    <t>ΓΙΑΛΟΥΡΗ</t>
  </si>
  <si>
    <t>ΣΤΑΜΑΤΙΝΑ ΑΝΑΣΤΑΣΙΑ</t>
  </si>
  <si>
    <t>ΑΖ100754</t>
  </si>
  <si>
    <t>Ρ367074</t>
  </si>
  <si>
    <t>1572,8</t>
  </si>
  <si>
    <t>ΓΑΡΕΦΗ</t>
  </si>
  <si>
    <t>ΑΕ667164</t>
  </si>
  <si>
    <t>1572,5</t>
  </si>
  <si>
    <t>ΜΠΟΡΤΑ</t>
  </si>
  <si>
    <t>Χ735727</t>
  </si>
  <si>
    <t>ΣΜΑΓΑ</t>
  </si>
  <si>
    <t>Μ418056</t>
  </si>
  <si>
    <t>ΘΕΟΔΟΣΙΑΔΟΥ</t>
  </si>
  <si>
    <t>ΑΙ360616</t>
  </si>
  <si>
    <t>ΓΚΑΛΙΠΙΔΟΥ</t>
  </si>
  <si>
    <t>ΑΜ255658</t>
  </si>
  <si>
    <t>ΓΑΖΕΤΗ</t>
  </si>
  <si>
    <t>Π943107</t>
  </si>
  <si>
    <t>Χ795897</t>
  </si>
  <si>
    <t>ΤΑΟΥΣΑΚΟΥ</t>
  </si>
  <si>
    <t>ΑΖ598556</t>
  </si>
  <si>
    <t>ΑΚ320366</t>
  </si>
  <si>
    <t>732,6</t>
  </si>
  <si>
    <t>1570,6</t>
  </si>
  <si>
    <t>ΔΑΛΚΙΡΑΝΙΔΟΥ</t>
  </si>
  <si>
    <t>ΑΙ190290</t>
  </si>
  <si>
    <t>1569,5</t>
  </si>
  <si>
    <t>ΚΑΡΟΛΙΝΑ</t>
  </si>
  <si>
    <t>ΑΚ929582</t>
  </si>
  <si>
    <t>ΣΚΑΡΛΑΤΟΥ</t>
  </si>
  <si>
    <t>ΠΑΓΩΝΑ</t>
  </si>
  <si>
    <t>ΑΖ294200</t>
  </si>
  <si>
    <t>1569,2</t>
  </si>
  <si>
    <t>ΑΚ884344</t>
  </si>
  <si>
    <t>1568,7</t>
  </si>
  <si>
    <t>ΣΤΕΦΑΝΙΔΟΥ</t>
  </si>
  <si>
    <t>Χ245418</t>
  </si>
  <si>
    <t>ΓΚΙΖΑΡΗ</t>
  </si>
  <si>
    <t>Χ254755</t>
  </si>
  <si>
    <t>1565,6</t>
  </si>
  <si>
    <t>ΙΚΙΜΗ</t>
  </si>
  <si>
    <t>ΑΚ885889</t>
  </si>
  <si>
    <t>1565,5</t>
  </si>
  <si>
    <t>ΠΕΡΠΕΡΗ</t>
  </si>
  <si>
    <t>ΑΒ679738</t>
  </si>
  <si>
    <t>1565,1</t>
  </si>
  <si>
    <t>ΚΟΥΣΑ</t>
  </si>
  <si>
    <t>ΑΒ369354</t>
  </si>
  <si>
    <t>947,1</t>
  </si>
  <si>
    <t>ΜΟΤΣΙΑΝΟΥ</t>
  </si>
  <si>
    <t>ΑΝ187475</t>
  </si>
  <si>
    <t>ΑΝΑΓΝΩΣΤΟΠΟΥΛΟΥ</t>
  </si>
  <si>
    <t>ΚΑΝΕΛΑ</t>
  </si>
  <si>
    <t>Χ734044</t>
  </si>
  <si>
    <t>ΣΙΑΠΑΝΤΑ</t>
  </si>
  <si>
    <t>ΑΒ140209</t>
  </si>
  <si>
    <t>853,6</t>
  </si>
  <si>
    <t>1561,6</t>
  </si>
  <si>
    <t>ΡΕΚΑΡΗΣ</t>
  </si>
  <si>
    <t>ΑΗ392274</t>
  </si>
  <si>
    <t>1560,7</t>
  </si>
  <si>
    <t>ΘΩΜΑΙΔΟΥ</t>
  </si>
  <si>
    <t>Χ222859</t>
  </si>
  <si>
    <t>ΑΒΡΑΜΙΔΗΣ</t>
  </si>
  <si>
    <t>ΑΒ157846</t>
  </si>
  <si>
    <t>ΚΙΟΥΡΤΣΗ</t>
  </si>
  <si>
    <t>ΑΕ761650</t>
  </si>
  <si>
    <t>ΤΣΑΛΚΑΤΗ</t>
  </si>
  <si>
    <t>ΑΖ920913</t>
  </si>
  <si>
    <t>1559,8</t>
  </si>
  <si>
    <t>ΤΣΟΛΕΡΙΔΟΥ</t>
  </si>
  <si>
    <t>Ρ734009</t>
  </si>
  <si>
    <t>1559,3</t>
  </si>
  <si>
    <t>ΒΑΤΙΔΟΥ</t>
  </si>
  <si>
    <t>ΑΚ267760</t>
  </si>
  <si>
    <t>1558,5</t>
  </si>
  <si>
    <t>ΕΞΑΡΧΟΥ</t>
  </si>
  <si>
    <t>ΑΖ863747</t>
  </si>
  <si>
    <t>789,8</t>
  </si>
  <si>
    <t>1557,8</t>
  </si>
  <si>
    <t>ΦΩΤΟΠΟΥΛΟΥ</t>
  </si>
  <si>
    <t>ΑΕ684703</t>
  </si>
  <si>
    <t>1557,5</t>
  </si>
  <si>
    <t>ΚΕΛΓΙΑΝΟΓΛΟΥ</t>
  </si>
  <si>
    <t>ΤΡΥΦΩΝ</t>
  </si>
  <si>
    <t>ΑΚ317046</t>
  </si>
  <si>
    <t>ΚΕΦΑΛΙΔΟΥ</t>
  </si>
  <si>
    <t>ΑΗ658076</t>
  </si>
  <si>
    <t>1556,7</t>
  </si>
  <si>
    <t>ΑΑ227816</t>
  </si>
  <si>
    <t>ΑΗ692444</t>
  </si>
  <si>
    <t>1555,5</t>
  </si>
  <si>
    <t>ΠΑΤΡΩΝΗ</t>
  </si>
  <si>
    <t>ΑΝ229550</t>
  </si>
  <si>
    <t>ΚΡΑΜΠΗ</t>
  </si>
  <si>
    <t>ΑΜ772656</t>
  </si>
  <si>
    <t>ΖΙΩΓΑ</t>
  </si>
  <si>
    <t>Ρ715872</t>
  </si>
  <si>
    <t>1554,9</t>
  </si>
  <si>
    <t>ΤΣΟΧΑΤΑΡΙΔΟΥ</t>
  </si>
  <si>
    <t>ΑΚ868077</t>
  </si>
  <si>
    <t>1554,5</t>
  </si>
  <si>
    <t>ΠΑΠΑΚΩΝΣΤΑΝΤΙΝΟΥ</t>
  </si>
  <si>
    <t>ΑΚ866459</t>
  </si>
  <si>
    <t>965,8</t>
  </si>
  <si>
    <t>1553,8</t>
  </si>
  <si>
    <t>ΒΑΡΗ</t>
  </si>
  <si>
    <t>Χ751207</t>
  </si>
  <si>
    <t>ΛΕΙΝΑ</t>
  </si>
  <si>
    <t>ΑΙ381899</t>
  </si>
  <si>
    <t>1553,7</t>
  </si>
  <si>
    <t>ΚΟΥΜΠΟΥΛΗ</t>
  </si>
  <si>
    <t>ΕΥΛΑΛΙΑ</t>
  </si>
  <si>
    <t>ΑΑ948040</t>
  </si>
  <si>
    <t>1553,4</t>
  </si>
  <si>
    <t>ΓΕΩΡΓΙΑΔΗΣ</t>
  </si>
  <si>
    <t>ΑΗ860053</t>
  </si>
  <si>
    <t>883,3</t>
  </si>
  <si>
    <t>1553,3</t>
  </si>
  <si>
    <t>ΖΑΡΧΑΝΗ</t>
  </si>
  <si>
    <t>ΑΒ854546</t>
  </si>
  <si>
    <t>ΑΑ247250</t>
  </si>
  <si>
    <t>ΚΟΥΤΡΑΣ</t>
  </si>
  <si>
    <t>ΑΒ119205</t>
  </si>
  <si>
    <t>ΜΠΛΕΤΣΑ</t>
  </si>
  <si>
    <t>ΚΑΣΣΙΑΝΗ</t>
  </si>
  <si>
    <t>Ν364886</t>
  </si>
  <si>
    <t>1552,3</t>
  </si>
  <si>
    <t>ΑΚ907433</t>
  </si>
  <si>
    <t>782,1</t>
  </si>
  <si>
    <t>1550,1</t>
  </si>
  <si>
    <t>701-703</t>
  </si>
  <si>
    <t>Ρ971345</t>
  </si>
  <si>
    <t>ΜΗΤΣΟΥ</t>
  </si>
  <si>
    <t>ΚΑΛΛΙΡΡΟΗ</t>
  </si>
  <si>
    <t>ΑΚ003938</t>
  </si>
  <si>
    <t>811,8</t>
  </si>
  <si>
    <t>1549,8</t>
  </si>
  <si>
    <t>ΛΟΥΠΕΤΗΣ</t>
  </si>
  <si>
    <t>Ρ235076</t>
  </si>
  <si>
    <t>ΛΟΙΖΟΥ</t>
  </si>
  <si>
    <t>Βουτσά</t>
  </si>
  <si>
    <t>Ελένη</t>
  </si>
  <si>
    <t>Θωμάς</t>
  </si>
  <si>
    <t>ΑΕ206802</t>
  </si>
  <si>
    <t>1547,7</t>
  </si>
  <si>
    <t>ΤΣΑΝΙΚΛΙΔΗΣ</t>
  </si>
  <si>
    <t>ΠΕΡΙΚΛΗΣ</t>
  </si>
  <si>
    <t>ΑΜ684490</t>
  </si>
  <si>
    <t>1547,5</t>
  </si>
  <si>
    <t>ΑΗ662971</t>
  </si>
  <si>
    <t>1547,2</t>
  </si>
  <si>
    <t>ΚΟΠΑΛΙΔΗΣ</t>
  </si>
  <si>
    <t>ΑΚ325485</t>
  </si>
  <si>
    <t>ΧΑΤΖΗΒΑΣΙΛΕΙΟΥ</t>
  </si>
  <si>
    <t>ΑΝ238048</t>
  </si>
  <si>
    <t>1544,5</t>
  </si>
  <si>
    <t>ΔΑΤΣΕΡΗ</t>
  </si>
  <si>
    <t>ΑΕ687004</t>
  </si>
  <si>
    <t>1543,4</t>
  </si>
  <si>
    <t>ΟΥΖΟΥΝΗ</t>
  </si>
  <si>
    <t>ΑΙ172983</t>
  </si>
  <si>
    <t>1542,2</t>
  </si>
  <si>
    <t>ΒΛΑΧΑΚΟΥ</t>
  </si>
  <si>
    <t>ΑΖ333993</t>
  </si>
  <si>
    <t>ΠΟΖΑΤΖΙΔΗΣ</t>
  </si>
  <si>
    <t>ΑΚ903915</t>
  </si>
  <si>
    <t>ΓΚΟΝΤΕΒΑΣ</t>
  </si>
  <si>
    <t>ΠΑΝΤΕΛΗΣ-ΤΗΛΕΜΑΧΟΣ</t>
  </si>
  <si>
    <t>ΑΜ650934</t>
  </si>
  <si>
    <t>Παιταρη</t>
  </si>
  <si>
    <t>Μαρια</t>
  </si>
  <si>
    <t>Ιωαννης</t>
  </si>
  <si>
    <t>ΑΗ 698610</t>
  </si>
  <si>
    <t>ΖΥΓΓΙΡΙΔΟΥ</t>
  </si>
  <si>
    <t>ΑΙ885975</t>
  </si>
  <si>
    <t>ΚΩΣΤΑ</t>
  </si>
  <si>
    <t>ΑΗ188740</t>
  </si>
  <si>
    <t>ΠΑΤΡΙΚΗ</t>
  </si>
  <si>
    <t>ΑΖ691624</t>
  </si>
  <si>
    <t>952,6</t>
  </si>
  <si>
    <t>1540,6</t>
  </si>
  <si>
    <t>ΧΑΤΖΗΠΑΝΑΓΙΩΤΟΥ</t>
  </si>
  <si>
    <t>ΑΖ172035</t>
  </si>
  <si>
    <t>1540,5</t>
  </si>
  <si>
    <t>ΣΙΩΠΗ</t>
  </si>
  <si>
    <t>ΑΗ189410</t>
  </si>
  <si>
    <t>1540,1</t>
  </si>
  <si>
    <t>ΚΑΡΑΦΩΤΑΚΗΣ</t>
  </si>
  <si>
    <t>ΑΕ833623</t>
  </si>
  <si>
    <t>ΣΑΜΑΛΕΚΗ</t>
  </si>
  <si>
    <t>ΑΚ997912</t>
  </si>
  <si>
    <t>1539,5</t>
  </si>
  <si>
    <t>ΦΩΤΕΙΝΉ</t>
  </si>
  <si>
    <t>ΑΗ667529</t>
  </si>
  <si>
    <t>1539,3</t>
  </si>
  <si>
    <t>ΔΗΜΗΚΑ</t>
  </si>
  <si>
    <t>ΑΡΓΥΡΙΟΣ</t>
  </si>
  <si>
    <t>ΑΕ671846</t>
  </si>
  <si>
    <t>1539,2</t>
  </si>
  <si>
    <t>ΑΘΑΝΑΣΙΑΔΟΥ</t>
  </si>
  <si>
    <t>Χ223354</t>
  </si>
  <si>
    <t>ΑΙ151376</t>
  </si>
  <si>
    <t>ΧΑΤΣΙΟΥ</t>
  </si>
  <si>
    <t>ΑΝΝΑ ΧΡΙΣΤΙΝΑ</t>
  </si>
  <si>
    <t>ΑΚ427832</t>
  </si>
  <si>
    <t>ΤΣΑΝΑΚΤΣΙΔΟΥ</t>
  </si>
  <si>
    <t>Φ177865</t>
  </si>
  <si>
    <t>ΠΑΠΑΖΗ</t>
  </si>
  <si>
    <t>ΤΡΙΑΝΤΑΦΥΛΛΙΑ</t>
  </si>
  <si>
    <t>ΑΜ712318</t>
  </si>
  <si>
    <t>1537,8</t>
  </si>
  <si>
    <t>ΚΟΛΟΚΥΘΑΣ</t>
  </si>
  <si>
    <t>ΑΕ711972</t>
  </si>
  <si>
    <t>919,6</t>
  </si>
  <si>
    <t>1537,6</t>
  </si>
  <si>
    <t>ΑΝΤΑΒΑΛΗ</t>
  </si>
  <si>
    <t>ΑΑ250687</t>
  </si>
  <si>
    <t>749,1</t>
  </si>
  <si>
    <t>1537,1</t>
  </si>
  <si>
    <t>ΓΚΟΣΙΟΥ</t>
  </si>
  <si>
    <t>ΑΜ685555</t>
  </si>
  <si>
    <t>1536,5</t>
  </si>
  <si>
    <t>ΑΛΚΙΒΙΑΔΗΣ</t>
  </si>
  <si>
    <t>ΑΜ262339</t>
  </si>
  <si>
    <t>1535,7</t>
  </si>
  <si>
    <t>ΑΓΓΕΛΑΚΗ</t>
  </si>
  <si>
    <t>Ρ481521</t>
  </si>
  <si>
    <t>1535,5</t>
  </si>
  <si>
    <t>ΜΕΝΤΑ</t>
  </si>
  <si>
    <t>ΑΙ713642</t>
  </si>
  <si>
    <t>1535,1</t>
  </si>
  <si>
    <t>ΤΣΒΕΤΚΟΒΑ</t>
  </si>
  <si>
    <t>ΑΝΕΛΙΑ</t>
  </si>
  <si>
    <t>ΙΒΑΝ</t>
  </si>
  <si>
    <t>ΑΗ119359</t>
  </si>
  <si>
    <t>ΖΑΡΟΓΙΑΝΝΗΣ</t>
  </si>
  <si>
    <t>Λ602056</t>
  </si>
  <si>
    <t>916,3</t>
  </si>
  <si>
    <t>1534,3</t>
  </si>
  <si>
    <t>ΤΣΕΛΙΚΗΣ</t>
  </si>
  <si>
    <t>ΠΟΛΥΜΕΡΟΣ</t>
  </si>
  <si>
    <t>ΑΖ686125</t>
  </si>
  <si>
    <t>ΤΡΙΦΙΑΤΗ</t>
  </si>
  <si>
    <t>Λ866976</t>
  </si>
  <si>
    <t>895,4</t>
  </si>
  <si>
    <t>1533,4</t>
  </si>
  <si>
    <t>ΑΝΤΩΝΙΑΔΟΥ</t>
  </si>
  <si>
    <t>ΑΙ 183037</t>
  </si>
  <si>
    <t>1533,3</t>
  </si>
  <si>
    <t>ΑΖ344836</t>
  </si>
  <si>
    <t>ΠΟΥΛΑΚΑΣ</t>
  </si>
  <si>
    <t>Φ477694</t>
  </si>
  <si>
    <t>ΛΙΑΜΠΑ</t>
  </si>
  <si>
    <t>ΑΖ526314</t>
  </si>
  <si>
    <t>1532,5</t>
  </si>
  <si>
    <t>ΤΣΑΒΕΛΗ</t>
  </si>
  <si>
    <t>ΑΖ248626</t>
  </si>
  <si>
    <t>943,8</t>
  </si>
  <si>
    <t>1531,8</t>
  </si>
  <si>
    <t>ΚΑΡΑΜΕΣΙΝΗ</t>
  </si>
  <si>
    <t>ΕΥΔΟΚΙΑ</t>
  </si>
  <si>
    <t>Σ346653</t>
  </si>
  <si>
    <t>ΠΑΠΑΔΗΜΗΤΡΟΥΛΑ</t>
  </si>
  <si>
    <t>Χ235352</t>
  </si>
  <si>
    <t>ΑΙ356809</t>
  </si>
  <si>
    <t>ΤΣΙΦΤΣΙΔΟΥ</t>
  </si>
  <si>
    <t>ΑΕ928302</t>
  </si>
  <si>
    <t>942,7</t>
  </si>
  <si>
    <t>1530,7</t>
  </si>
  <si>
    <t>ΜΑΜΟΥΡΗ</t>
  </si>
  <si>
    <t>ΣΕΒΑΣΤΗ</t>
  </si>
  <si>
    <t>ΑΖ492820</t>
  </si>
  <si>
    <t>ΧΑΤΖΗΤΙΜΟΘΕΟΥ</t>
  </si>
  <si>
    <t>ΑΙ942402</t>
  </si>
  <si>
    <t>ΡΑΠΤΟΠΟΥΛΟΥ-ΓΙΟΒΑΝΟΣΚΑ</t>
  </si>
  <si>
    <t>ΑΙΜΙΛΙΟΣ</t>
  </si>
  <si>
    <t>ΑΚ945636</t>
  </si>
  <si>
    <t>1530,3</t>
  </si>
  <si>
    <t>ΠΟΥΛΙΑΚΑ</t>
  </si>
  <si>
    <t>ΑΖ156882</t>
  </si>
  <si>
    <t>941,6</t>
  </si>
  <si>
    <t>1529,6</t>
  </si>
  <si>
    <t>ΠΑΤΣΙΑΒΟΥΔΗ</t>
  </si>
  <si>
    <t>ΑΕ833669</t>
  </si>
  <si>
    <t>1529,5</t>
  </si>
  <si>
    <t>ΚΑΡΑΤΣΙΟΥΜΠΑΝΗ</t>
  </si>
  <si>
    <t>ΑΗ379602</t>
  </si>
  <si>
    <t>ΚΛΑΚΑΛΑ</t>
  </si>
  <si>
    <t>ΑΕ177474</t>
  </si>
  <si>
    <t>1528,5</t>
  </si>
  <si>
    <t>ΔΙΒΟΠΟΥΛΟΣ</t>
  </si>
  <si>
    <t>ΒΑΣΙΛΗΣ</t>
  </si>
  <si>
    <t>ΑΚ275958</t>
  </si>
  <si>
    <t>870,1</t>
  </si>
  <si>
    <t>1528,1</t>
  </si>
  <si>
    <t>Φλώρου</t>
  </si>
  <si>
    <t>Ιωάννα</t>
  </si>
  <si>
    <t>Δημήτριος</t>
  </si>
  <si>
    <t>ΑΕ649290</t>
  </si>
  <si>
    <t>ΚΟΡΩΝΙΔΟΥ</t>
  </si>
  <si>
    <t>ΑΚ256630</t>
  </si>
  <si>
    <t>1527,7</t>
  </si>
  <si>
    <t>ΚΑΜΠΟΥΡΑΚΗ</t>
  </si>
  <si>
    <t>ΑΜ796466</t>
  </si>
  <si>
    <t>1527,5</t>
  </si>
  <si>
    <t>ΓΕΡΟΝΤΙΔΟΥ</t>
  </si>
  <si>
    <t>ΑΕ167057</t>
  </si>
  <si>
    <t>908,6</t>
  </si>
  <si>
    <t>1526,6</t>
  </si>
  <si>
    <t>ΝΤΑΚΑΡΕΛΑ</t>
  </si>
  <si>
    <t>ΑΑ458194</t>
  </si>
  <si>
    <t>ΚΥΡΙΤΣΗ</t>
  </si>
  <si>
    <t>ΑΙ839799</t>
  </si>
  <si>
    <t>ΣΥΚΙΩΤΗ</t>
  </si>
  <si>
    <t>ΑΒ717875</t>
  </si>
  <si>
    <t>1525,5</t>
  </si>
  <si>
    <t>ΑΠΡΙΛΗ</t>
  </si>
  <si>
    <t>Χ410211</t>
  </si>
  <si>
    <t>1524,9</t>
  </si>
  <si>
    <t>ΒΑΚΑΣΙΡΗ</t>
  </si>
  <si>
    <t>ΑΝ446585</t>
  </si>
  <si>
    <t>ΒΙΤΩΡΑΤΟΥ</t>
  </si>
  <si>
    <t>Χ223056</t>
  </si>
  <si>
    <t>755,7</t>
  </si>
  <si>
    <t>1523,7</t>
  </si>
  <si>
    <t>ΠΑΝΟΔΗΜΟΥ</t>
  </si>
  <si>
    <t>ΔΗΜΟΣ</t>
  </si>
  <si>
    <t>ΑΖ644841</t>
  </si>
  <si>
    <t>ΒΥΖΑΝΤΙΟΣ</t>
  </si>
  <si>
    <t>ΑΙ604116</t>
  </si>
  <si>
    <t>ΓΙΑΝΝΑΚΙΔΟΥ</t>
  </si>
  <si>
    <t>ΑΗ687467</t>
  </si>
  <si>
    <t>863,5</t>
  </si>
  <si>
    <t>1521,5</t>
  </si>
  <si>
    <t>ΑΓΓΕΛΗ</t>
  </si>
  <si>
    <t>ΕΥΑΓΓΕΛΗ</t>
  </si>
  <si>
    <t>ΑΙ024700</t>
  </si>
  <si>
    <t>753,5</t>
  </si>
  <si>
    <t>ΑΜ729867</t>
  </si>
  <si>
    <t>1519,4</t>
  </si>
  <si>
    <t>ΠΥΛΗΣ</t>
  </si>
  <si>
    <t>ΑΕ275084</t>
  </si>
  <si>
    <t>1518,5</t>
  </si>
  <si>
    <t>ΧΑΤΖΗΚΟΝΤΙΔΟΥ</t>
  </si>
  <si>
    <t>ΣΤΕΛΙΟΣ</t>
  </si>
  <si>
    <t>Ρ738234</t>
  </si>
  <si>
    <t>Ξ540286</t>
  </si>
  <si>
    <t>1517,5</t>
  </si>
  <si>
    <t>ΠΑΠΠΑΣ</t>
  </si>
  <si>
    <t>Π167877</t>
  </si>
  <si>
    <t>Χ726692</t>
  </si>
  <si>
    <t>ΚΑΡΑΚΩΣΤΑ</t>
  </si>
  <si>
    <t>Φ225092</t>
  </si>
  <si>
    <t>1515,5</t>
  </si>
  <si>
    <t>ΞΑΝΘΟΠΟΥΛΟΥ</t>
  </si>
  <si>
    <t>ΑΕ671696</t>
  </si>
  <si>
    <t>1514,5</t>
  </si>
  <si>
    <t>ΜΟΡΦΑΚΙΔΗΣ</t>
  </si>
  <si>
    <t>ΑΗ164289</t>
  </si>
  <si>
    <t>ΛΑΓΑΡΤΖΗ</t>
  </si>
  <si>
    <t>ΑΙ912931</t>
  </si>
  <si>
    <t>926,2</t>
  </si>
  <si>
    <t>1514,2</t>
  </si>
  <si>
    <t>ΤΖΙΓΚΟΥ</t>
  </si>
  <si>
    <t>ΑΚ385888</t>
  </si>
  <si>
    <t>Χ758458</t>
  </si>
  <si>
    <t>1512,5</t>
  </si>
  <si>
    <t>ΚΑΝΑΚΟΥΔΗ</t>
  </si>
  <si>
    <t>ΑΙ726265</t>
  </si>
  <si>
    <t>1512,3</t>
  </si>
  <si>
    <t xml:space="preserve">ΒΕΡΒΙΤΗΣ </t>
  </si>
  <si>
    <t>Ρ760051</t>
  </si>
  <si>
    <t>ΑΝ287891</t>
  </si>
  <si>
    <t>ΣΑΚΕΛΛΑΡΙΔΗΣ</t>
  </si>
  <si>
    <t>ΑΚ905553</t>
  </si>
  <si>
    <t>ΣΕΙΤΑΝΙΔΟΥ</t>
  </si>
  <si>
    <t>ΑΕ 409858</t>
  </si>
  <si>
    <t>ΑΜ684223</t>
  </si>
  <si>
    <t>ΓΑΛΑΝΗ</t>
  </si>
  <si>
    <t>Π936318</t>
  </si>
  <si>
    <t>ΑΙ174366</t>
  </si>
  <si>
    <t>841,5</t>
  </si>
  <si>
    <t>1508,5</t>
  </si>
  <si>
    <t>ΣΑΛΟΝΙΚΙΔΗΣ</t>
  </si>
  <si>
    <t>Ρ170436</t>
  </si>
  <si>
    <t>1508,4</t>
  </si>
  <si>
    <t>ΛΙΟΛΙΟΥ</t>
  </si>
  <si>
    <t>ΑΗ690170</t>
  </si>
  <si>
    <t>ΚΑΡΑΤΖΙΟΒΑΛΗ</t>
  </si>
  <si>
    <t>ΙΩΑΚΕΙΜ</t>
  </si>
  <si>
    <t>ΑΙ186920</t>
  </si>
  <si>
    <t>1507,6</t>
  </si>
  <si>
    <t>ΚΟΥΛΑΚΙΩΤΟΥ</t>
  </si>
  <si>
    <t>ΑΑ277298</t>
  </si>
  <si>
    <t>ΠΕΤΡΟΠΟΥΛΟΥ</t>
  </si>
  <si>
    <t>Χ271159</t>
  </si>
  <si>
    <t>ΛΙΑΜΤΣΟΣ</t>
  </si>
  <si>
    <t>Ρ844264</t>
  </si>
  <si>
    <t>1505,5</t>
  </si>
  <si>
    <t>ΧΑΡΙΤΩΝΙΔΟΥ</t>
  </si>
  <si>
    <t>ΑΒ420186</t>
  </si>
  <si>
    <t>ΚΟΥΤΣΟΓΙΑΝΝΗ</t>
  </si>
  <si>
    <t>Π106033</t>
  </si>
  <si>
    <t>774,4</t>
  </si>
  <si>
    <t>1505,4</t>
  </si>
  <si>
    <t>ΜΠΟΥΦΚΑ</t>
  </si>
  <si>
    <t>ΑΕ350848</t>
  </si>
  <si>
    <t>1504,5</t>
  </si>
  <si>
    <t>ΒΑΣΤΑ</t>
  </si>
  <si>
    <t>ΑΝ189312</t>
  </si>
  <si>
    <t>1503,5</t>
  </si>
  <si>
    <t>ΤΣΑΜΠΑ</t>
  </si>
  <si>
    <t>ΜΗΧΑΗΛ</t>
  </si>
  <si>
    <t>ΑΗ161935</t>
  </si>
  <si>
    <t>1502,4</t>
  </si>
  <si>
    <t>ΡΟΥΜΕΛΙΩΤΑΚΗΣ</t>
  </si>
  <si>
    <t>ΑΒ987017</t>
  </si>
  <si>
    <t>1502,3</t>
  </si>
  <si>
    <t>ΒΛΑΧΟΓΙΑΝΝΑΤΟΥ</t>
  </si>
  <si>
    <t>Τ141382</t>
  </si>
  <si>
    <t>914,1</t>
  </si>
  <si>
    <t>1502,1</t>
  </si>
  <si>
    <t>ΓΚΙΛΗ</t>
  </si>
  <si>
    <t>Ξ859706</t>
  </si>
  <si>
    <t>ΓΙΑΝΝΑΚΟΠΟΥΛΟΥ</t>
  </si>
  <si>
    <t>ΑΖ761361</t>
  </si>
  <si>
    <t>ΘΕΟΔΟΣΙΟΥ</t>
  </si>
  <si>
    <t>ΑΖ822934</t>
  </si>
  <si>
    <t>930,6</t>
  </si>
  <si>
    <t>1501,6</t>
  </si>
  <si>
    <t>ΤΣΟΥΦΛΙΔΟΥ</t>
  </si>
  <si>
    <t>ΑΖ830589</t>
  </si>
  <si>
    <t>1501,5</t>
  </si>
  <si>
    <t>ΤΖΙΑΛΛΑ</t>
  </si>
  <si>
    <t>ΑΕ337712</t>
  </si>
  <si>
    <t>1501,4</t>
  </si>
  <si>
    <t>ΧΑΤΖΗΑΣΕΜΙΔΗΣ</t>
  </si>
  <si>
    <t>ΑΙ162807</t>
  </si>
  <si>
    <t>ΖΑΙΦΗ</t>
  </si>
  <si>
    <t>ΑΖ809738</t>
  </si>
  <si>
    <t>ΜΠΑΣΟΥΡΗ</t>
  </si>
  <si>
    <t>ΑΗ236537</t>
  </si>
  <si>
    <t>1500,4</t>
  </si>
  <si>
    <t>ΠΙΤΣΕΛΗ</t>
  </si>
  <si>
    <t>ΑΙ942996</t>
  </si>
  <si>
    <t>ΑΖ681074</t>
  </si>
  <si>
    <t>1499,6</t>
  </si>
  <si>
    <t>ΖΓΚΟΥΡΑ</t>
  </si>
  <si>
    <t>ΑΖ333213</t>
  </si>
  <si>
    <t>Χ755575</t>
  </si>
  <si>
    <t>ΣΑΡΑΝΤΑΡΗ</t>
  </si>
  <si>
    <t>ΑΑ285390</t>
  </si>
  <si>
    <t>1497,7</t>
  </si>
  <si>
    <t>ΚΕΧΑΓΙΑ</t>
  </si>
  <si>
    <t>ΑΒ670968</t>
  </si>
  <si>
    <t>859,1</t>
  </si>
  <si>
    <t>1497,1</t>
  </si>
  <si>
    <t>ΣΤΑΥΡΟΥΔΗ</t>
  </si>
  <si>
    <t>ΑΗ658742</t>
  </si>
  <si>
    <t>ΜΠΟΛΜΑΤΗ</t>
  </si>
  <si>
    <t>Σ493370</t>
  </si>
  <si>
    <t>1496,6</t>
  </si>
  <si>
    <t>704-703</t>
  </si>
  <si>
    <t>ΜΑΜΕΛΕΤΖΗ</t>
  </si>
  <si>
    <t>Χ226489</t>
  </si>
  <si>
    <t>ΔΕΒΕΛΕΓΚΑ</t>
  </si>
  <si>
    <t>ΑΗ817143</t>
  </si>
  <si>
    <t>ΑΖ850518</t>
  </si>
  <si>
    <t>ΚΑΡΑΝΙΚΟΛΑΣ</t>
  </si>
  <si>
    <t>ΑΖ979339</t>
  </si>
  <si>
    <t>ΚΟΥΙΜΤΖΗ</t>
  </si>
  <si>
    <t>ΑΕ055638</t>
  </si>
  <si>
    <t>ΑΕ178678</t>
  </si>
  <si>
    <t>1492,5</t>
  </si>
  <si>
    <t>Χ749933</t>
  </si>
  <si>
    <t>ΣΑΦΕΤΗ</t>
  </si>
  <si>
    <t>ΑΝΤΙΓΟΝΗ</t>
  </si>
  <si>
    <t>ΑΕ659763</t>
  </si>
  <si>
    <t>ΓΟΝΑΤΙΔΟΥ</t>
  </si>
  <si>
    <t>ΑΕ199494</t>
  </si>
  <si>
    <t>1491,8</t>
  </si>
  <si>
    <t>ΧΑΝΤΑ</t>
  </si>
  <si>
    <t>ΧΡΥΣΑΝΘΗ</t>
  </si>
  <si>
    <t>ΑΚ943619</t>
  </si>
  <si>
    <t>1491,5</t>
  </si>
  <si>
    <t>ΚΑΝΤΟΥΡΗΣ</t>
  </si>
  <si>
    <t>Ρ180526</t>
  </si>
  <si>
    <t>ΣΤΕΦΑΝΑΚΟΥ</t>
  </si>
  <si>
    <t>ΑΗ802721</t>
  </si>
  <si>
    <t>900,9</t>
  </si>
  <si>
    <t>1488,9</t>
  </si>
  <si>
    <t>ΔΕΛΗΟΛΑΝΗΣ</t>
  </si>
  <si>
    <t>ΑΖ294474</t>
  </si>
  <si>
    <t>1488,1</t>
  </si>
  <si>
    <t>ΜΕΝΑΓΙΑ</t>
  </si>
  <si>
    <t>ΧΡΙΣΤΙΝΑ-ΑΛΘΑΙΑ</t>
  </si>
  <si>
    <t>ΑΖ630630</t>
  </si>
  <si>
    <t>Χ369864</t>
  </si>
  <si>
    <t>ΚΕΧΑΓΙΔΟΥ</t>
  </si>
  <si>
    <t>Σ900350</t>
  </si>
  <si>
    <t>1487,8</t>
  </si>
  <si>
    <t>ΑΝ184594</t>
  </si>
  <si>
    <t>ΣΠΡΙΝΤΖΙΟΥ</t>
  </si>
  <si>
    <t>ΑΕ676272</t>
  </si>
  <si>
    <t>ΓΚΙΡΤΖΙΜΑΝΑΚΗ</t>
  </si>
  <si>
    <t>ΑΜ701479</t>
  </si>
  <si>
    <t>ΜΠΑΣΙΝΑ</t>
  </si>
  <si>
    <t>Π746840</t>
  </si>
  <si>
    <t>1486,5</t>
  </si>
  <si>
    <t>ΜΥΡΙΣΚΟΥ</t>
  </si>
  <si>
    <t>Χ476777</t>
  </si>
  <si>
    <t>ΕΡΙΚΗ</t>
  </si>
  <si>
    <t>ΚΥΡΑΝΘΗ</t>
  </si>
  <si>
    <t>ΑΕ900481</t>
  </si>
  <si>
    <t>Μαρία</t>
  </si>
  <si>
    <t>Μελίτου</t>
  </si>
  <si>
    <t>Ιωάννης</t>
  </si>
  <si>
    <t>Χ225188</t>
  </si>
  <si>
    <t>1485,6</t>
  </si>
  <si>
    <t>Φ320463</t>
  </si>
  <si>
    <t>797,5</t>
  </si>
  <si>
    <t>1485,5</t>
  </si>
  <si>
    <t>ΠΟΔΟΥΡΗ</t>
  </si>
  <si>
    <t>Ν679116</t>
  </si>
  <si>
    <t>1484,5</t>
  </si>
  <si>
    <t>ΚΟΥΡΟΥ</t>
  </si>
  <si>
    <t>ΑΒ130275</t>
  </si>
  <si>
    <t>1484,2</t>
  </si>
  <si>
    <t>ΣΙΝΑΙΔΟΥ</t>
  </si>
  <si>
    <t>ΑΚ274152</t>
  </si>
  <si>
    <t>ΜΑΓΚΑΝΙΑΡΗ</t>
  </si>
  <si>
    <t>ΑΑ246183</t>
  </si>
  <si>
    <t>1483,8</t>
  </si>
  <si>
    <t>ΑΣΛΙΧΑΝΙΔΟΥ</t>
  </si>
  <si>
    <t>ΖΑΦΕΙΡΙΑ</t>
  </si>
  <si>
    <t>ΑΖ168602</t>
  </si>
  <si>
    <t>1483,7</t>
  </si>
  <si>
    <t>ΑΝΘΟΠΟΥΛΟΥ</t>
  </si>
  <si>
    <t>Μ440523</t>
  </si>
  <si>
    <t>1483,4</t>
  </si>
  <si>
    <t>ΑΖ692547</t>
  </si>
  <si>
    <t>ΖΕΑΚΗ</t>
  </si>
  <si>
    <t>Χ350081</t>
  </si>
  <si>
    <t>ΑΡΓΥΡΗ</t>
  </si>
  <si>
    <t>ΞΑΝΘΗ</t>
  </si>
  <si>
    <t>ΑΙ173473</t>
  </si>
  <si>
    <t>ΑΚ649442</t>
  </si>
  <si>
    <t>1482,8</t>
  </si>
  <si>
    <t>ΜΑΣΤΡΟΓΙΑΝΝΟΠΟΥΛΟΥ</t>
  </si>
  <si>
    <t>ΑΙ478163</t>
  </si>
  <si>
    <t>1482,6</t>
  </si>
  <si>
    <t>ΠΑΝΙΔΟΥ</t>
  </si>
  <si>
    <t>ΑΙ199602</t>
  </si>
  <si>
    <t>1482,3</t>
  </si>
  <si>
    <t>ΠΕΤΕΒΕ</t>
  </si>
  <si>
    <t>AI340953</t>
  </si>
  <si>
    <t>ΣΑΡΤΖΕΤΑΚΗΣ</t>
  </si>
  <si>
    <t>ΖΑΧΑΡΙΑΣ</t>
  </si>
  <si>
    <t>ΑΙ549594</t>
  </si>
  <si>
    <t>1481,5</t>
  </si>
  <si>
    <t>ΑΕ699690</t>
  </si>
  <si>
    <t>ΜΥΛΩΝΑ</t>
  </si>
  <si>
    <t>Σ344842</t>
  </si>
  <si>
    <t>ΒΛΑΧΑΚΗΣ</t>
  </si>
  <si>
    <t>ΑΖ799518</t>
  </si>
  <si>
    <t>742,5</t>
  </si>
  <si>
    <t>1480,5</t>
  </si>
  <si>
    <t>ΜΥΡΤΩ</t>
  </si>
  <si>
    <t>Ρ039416</t>
  </si>
  <si>
    <t>ΒΑΙΤΣΗ</t>
  </si>
  <si>
    <t>Ν831803</t>
  </si>
  <si>
    <t>ΓΕΩΡΓΙΤΣΑ</t>
  </si>
  <si>
    <t>Σ341149</t>
  </si>
  <si>
    <t>705-703</t>
  </si>
  <si>
    <t>ΑΕ755355</t>
  </si>
  <si>
    <t>ΣΑΡΡΑΣ</t>
  </si>
  <si>
    <t>Ξ213844</t>
  </si>
  <si>
    <t>709,5</t>
  </si>
  <si>
    <t>1477,5</t>
  </si>
  <si>
    <t>ΓΙΑΝΝΑΚΑΡΟΥ</t>
  </si>
  <si>
    <t>ΑΗ182280</t>
  </si>
  <si>
    <t>ΠΑΣΧΑΛΙΔΟΥ</t>
  </si>
  <si>
    <t>Τ217448</t>
  </si>
  <si>
    <t>839,3</t>
  </si>
  <si>
    <t>1477,3</t>
  </si>
  <si>
    <t>ΠΛΩΤΑ</t>
  </si>
  <si>
    <t>ΑΗ703387</t>
  </si>
  <si>
    <t>1477,1</t>
  </si>
  <si>
    <t>Αγούλας</t>
  </si>
  <si>
    <t>Παναγιώτης</t>
  </si>
  <si>
    <t>Αστέριος</t>
  </si>
  <si>
    <t>ΑΖ698893</t>
  </si>
  <si>
    <t>ΑΚ326336</t>
  </si>
  <si>
    <t>ΛΑΡΧΑΝΙΔΟΥ</t>
  </si>
  <si>
    <t>ΕΛΓΚΙΤΑ ΕΛΕΝΗ</t>
  </si>
  <si>
    <t>ΑΙ879601</t>
  </si>
  <si>
    <t>ΑΡΒΑΝΙΤΙΔΟΥ</t>
  </si>
  <si>
    <t>ΑΒ707334</t>
  </si>
  <si>
    <t>1475,7</t>
  </si>
  <si>
    <t>ΠΑΠΑΝΑΣΤΑΣΙΟΥ</t>
  </si>
  <si>
    <t>ΒΛΑΔΗΜΕΡΟΣ</t>
  </si>
  <si>
    <t>ΑΕ196395</t>
  </si>
  <si>
    <t>1473,7</t>
  </si>
  <si>
    <t>ΓΚΙΤΟΥ</t>
  </si>
  <si>
    <t>ΑΚ945917</t>
  </si>
  <si>
    <t>1473,5</t>
  </si>
  <si>
    <t>ΑΕ682435</t>
  </si>
  <si>
    <t>1472,7</t>
  </si>
  <si>
    <t>ΑΠΟΣΤΟΛΑΚΗΣ</t>
  </si>
  <si>
    <t>ΑΝ379163</t>
  </si>
  <si>
    <t>1472,6</t>
  </si>
  <si>
    <t>ΡΑΜΜΟΥ</t>
  </si>
  <si>
    <t>ΑΣΗΜΙΝΑ</t>
  </si>
  <si>
    <t>ΑΚ434885</t>
  </si>
  <si>
    <t>ΑΦΙΣΙΑΔΟΥ</t>
  </si>
  <si>
    <t>ΑΛΕΞΙΟΣ</t>
  </si>
  <si>
    <t>ΑΚ280996</t>
  </si>
  <si>
    <t>1472,5</t>
  </si>
  <si>
    <t>ΓΙΑΝΝΟΥΣΑ</t>
  </si>
  <si>
    <t>Π905197</t>
  </si>
  <si>
    <t>1472,1</t>
  </si>
  <si>
    <t>ΜΩΡΑΙΤΗΣ</t>
  </si>
  <si>
    <t>ΧΡΥΣΟΒΑΛΑΝΤΗΣ</t>
  </si>
  <si>
    <t>ΣΟΦΟΚΛΗΣ</t>
  </si>
  <si>
    <t>Ρ180430</t>
  </si>
  <si>
    <t>ΤΣΑΚΜΑΚΗ</t>
  </si>
  <si>
    <t>ΑΕ344598</t>
  </si>
  <si>
    <t>1471,6</t>
  </si>
  <si>
    <t>ΕΛΠΙΝΙΚΗ</t>
  </si>
  <si>
    <t>ΑΕ348443</t>
  </si>
  <si>
    <t>1471,3</t>
  </si>
  <si>
    <t>ΝΕΣΤΟΡΑ</t>
  </si>
  <si>
    <t>Φ277850</t>
  </si>
  <si>
    <t>1471,1</t>
  </si>
  <si>
    <t>ΕΥΔΟΞΙΑΔΟΥ</t>
  </si>
  <si>
    <t>ΔΟΞΑΚΗΣ</t>
  </si>
  <si>
    <t>ΑΗ671696</t>
  </si>
  <si>
    <t>1470,5</t>
  </si>
  <si>
    <t>ΧΑΛΚΙΑ</t>
  </si>
  <si>
    <t>ΑΒ833621</t>
  </si>
  <si>
    <t>1469,5</t>
  </si>
  <si>
    <t>ΡΟΓΚΟΓΚΟΥ</t>
  </si>
  <si>
    <t>Ρ750718</t>
  </si>
  <si>
    <t>ΑΓΓΕΛΟΥΔΗ</t>
  </si>
  <si>
    <t>ΑΚ934075</t>
  </si>
  <si>
    <t>1468,7</t>
  </si>
  <si>
    <t>ΚΑΝΛΗ</t>
  </si>
  <si>
    <t>ΑΗ197209</t>
  </si>
  <si>
    <t>1468,5</t>
  </si>
  <si>
    <t>ΕΥΡΥΔΙΚΗ</t>
  </si>
  <si>
    <t>ΑΖ312791</t>
  </si>
  <si>
    <t>ΝΟΤΑΡΙΔΟΥ</t>
  </si>
  <si>
    <t>ΑΜ278663</t>
  </si>
  <si>
    <t>ΦΛΩΡΟΥ</t>
  </si>
  <si>
    <t>ΑΙ198655</t>
  </si>
  <si>
    <t>ΚΙΟΣΕ</t>
  </si>
  <si>
    <t>ΑΗ854451</t>
  </si>
  <si>
    <t>Μαρίνου</t>
  </si>
  <si>
    <t xml:space="preserve">Φλώρα </t>
  </si>
  <si>
    <t xml:space="preserve">Ηλίας </t>
  </si>
  <si>
    <t>ΑΙ351970</t>
  </si>
  <si>
    <t>ΚΙΟΣΣΕ</t>
  </si>
  <si>
    <t>ΑΒ749500</t>
  </si>
  <si>
    <t>ΔΡΙΖΗ</t>
  </si>
  <si>
    <t>ΑΖ828133</t>
  </si>
  <si>
    <t>ΜΠΡΑΓΙΑΝΝΗ</t>
  </si>
  <si>
    <t>ΦΛΩΡΑ</t>
  </si>
  <si>
    <t>ΑΗ800240</t>
  </si>
  <si>
    <t>1467,5</t>
  </si>
  <si>
    <t>ΣΠΑΤΟΒΑΛΗ</t>
  </si>
  <si>
    <t>ΣΤΑΜΑΤΗΣ</t>
  </si>
  <si>
    <t>ΑΒ686405</t>
  </si>
  <si>
    <t>849,2</t>
  </si>
  <si>
    <t>1467,2</t>
  </si>
  <si>
    <t>ΚΑΤΣΑΝΟΥ</t>
  </si>
  <si>
    <t>ΑΚ943874</t>
  </si>
  <si>
    <t>ΜΕΤΑΞΟΓΛΟΥ</t>
  </si>
  <si>
    <t>ΑΙ728824</t>
  </si>
  <si>
    <t>ΚΥΡΚΟΥ</t>
  </si>
  <si>
    <t>ΑΒ867838</t>
  </si>
  <si>
    <t>ΑΝΔΡΕΑΔΟΥ</t>
  </si>
  <si>
    <t>ΑΚ297245</t>
  </si>
  <si>
    <t>ΚΩΤΣΙΑ</t>
  </si>
  <si>
    <t>ΜΑΙΛΙΝΤΑ</t>
  </si>
  <si>
    <t>ΑΗ756348</t>
  </si>
  <si>
    <t>1464,7</t>
  </si>
  <si>
    <t>ΜΑΛΑΤΙΔΟΥ</t>
  </si>
  <si>
    <t>Χ216439</t>
  </si>
  <si>
    <t>1464,2</t>
  </si>
  <si>
    <t>ΖΑΡΝΤΑΒΑ</t>
  </si>
  <si>
    <t>Χ265137</t>
  </si>
  <si>
    <t>ΣΟΦΙΑΝΙΔΟΥ</t>
  </si>
  <si>
    <t>ΑΖ793764</t>
  </si>
  <si>
    <t>1462,8</t>
  </si>
  <si>
    <t>ΑΓΓΕΛΙΔΟΥ</t>
  </si>
  <si>
    <t>Χ770245</t>
  </si>
  <si>
    <t>ΑΗ311290</t>
  </si>
  <si>
    <t>ΧΡΥΣΑΦΗ</t>
  </si>
  <si>
    <t>ΑΚ937026</t>
  </si>
  <si>
    <t>ΡΑΠΤΗ</t>
  </si>
  <si>
    <t>ΑΜ651882</t>
  </si>
  <si>
    <t>ΜΑΚΡΙΔΟΥ</t>
  </si>
  <si>
    <t>ΑΖ672553</t>
  </si>
  <si>
    <t>1462,5</t>
  </si>
  <si>
    <t>ΡΟΥΣΟΜΑΝΗ</t>
  </si>
  <si>
    <t>ΑΑ259180</t>
  </si>
  <si>
    <t>ΠΑΠΑΕΥΑΓΓΕΛΟΥ</t>
  </si>
  <si>
    <t>ΑΕ690863</t>
  </si>
  <si>
    <t>ΑΔΑΜ</t>
  </si>
  <si>
    <t>ΑΒ150007</t>
  </si>
  <si>
    <t>ΕΥΣΤΡΑΤΙΟΥ</t>
  </si>
  <si>
    <t>ΑΖ251251</t>
  </si>
  <si>
    <t>1462,2</t>
  </si>
  <si>
    <t>ΚΡΥΣΤΑΛΙΑ</t>
  </si>
  <si>
    <t>ΑΖ587959</t>
  </si>
  <si>
    <t>804,1</t>
  </si>
  <si>
    <t>1462,1</t>
  </si>
  <si>
    <t>ΜΠΑΤΑΛΑΣ</t>
  </si>
  <si>
    <t>ΑΗ266063</t>
  </si>
  <si>
    <t>1461,5</t>
  </si>
  <si>
    <t>ΤΑΣΙΟΥΔΗΣ</t>
  </si>
  <si>
    <t>ΑΙ394770</t>
  </si>
  <si>
    <t>873,4</t>
  </si>
  <si>
    <t>1461,4</t>
  </si>
  <si>
    <t>ΑΙ341327</t>
  </si>
  <si>
    <t>ΚΟΥΤΣΩΝΑ</t>
  </si>
  <si>
    <t>ΑΜ852162</t>
  </si>
  <si>
    <t>1459,2</t>
  </si>
  <si>
    <t>ΑΖ323891</t>
  </si>
  <si>
    <t>ΔΕΜΕΡΤΖΗ</t>
  </si>
  <si>
    <t>ΑΖ671846</t>
  </si>
  <si>
    <t>871,2</t>
  </si>
  <si>
    <t>ΠΑΡΑΣΚΕΥΟΠΟΥΛΟΥ ΨΑΡΙΚΟΓΛΟΥ</t>
  </si>
  <si>
    <t>ΑΑ245944</t>
  </si>
  <si>
    <t>ΠΑΝΑΓΙΩΤΙΔΟΥ</t>
  </si>
  <si>
    <t>ΑΚ566816</t>
  </si>
  <si>
    <t>840,4</t>
  </si>
  <si>
    <t>1458,4</t>
  </si>
  <si>
    <t>ΠΑΤΑΠΟΥΔΗ</t>
  </si>
  <si>
    <t>ΜΕΝΕΛΑΟΣ</t>
  </si>
  <si>
    <t>ΑΒ365709</t>
  </si>
  <si>
    <t>ΚΑΡΑΝΤΑΙΔΟΥ</t>
  </si>
  <si>
    <t>Τ810298</t>
  </si>
  <si>
    <t>1457,3</t>
  </si>
  <si>
    <t>ΚΟΥΤΡΟΥΔΗ</t>
  </si>
  <si>
    <t>ΓΑΛΗΝΗ</t>
  </si>
  <si>
    <t>ΑΙ190116</t>
  </si>
  <si>
    <t>795,3</t>
  </si>
  <si>
    <t>1456,3</t>
  </si>
  <si>
    <t>ΠΑΠΑΝΑΣΤΑΣΙΟΥΠΑΠΠΑ</t>
  </si>
  <si>
    <t>ΕΡΜΙΟΝΗ</t>
  </si>
  <si>
    <t>ΑΗ694680</t>
  </si>
  <si>
    <t>718,3</t>
  </si>
  <si>
    <t>ΠΑΠΑΣΠΥΡΟΥ</t>
  </si>
  <si>
    <t>ΑΒ323717</t>
  </si>
  <si>
    <t>ΣΤΑΥΡΙΔΟΥ</t>
  </si>
  <si>
    <t>ΑΕ164662</t>
  </si>
  <si>
    <t>1455,2</t>
  </si>
  <si>
    <t>ΝΙΚΗ</t>
  </si>
  <si>
    <t>ΑΚ252666</t>
  </si>
  <si>
    <t>837,1</t>
  </si>
  <si>
    <t>1455,1</t>
  </si>
  <si>
    <t>ΧΡΙΣΤΟΔΟΥΛΙΔΟΥ</t>
  </si>
  <si>
    <t>ΑΗ193242</t>
  </si>
  <si>
    <t>816,2</t>
  </si>
  <si>
    <t>1454,2</t>
  </si>
  <si>
    <t>Χ740117</t>
  </si>
  <si>
    <t>ΡΕΜΠΕΛΟΣ</t>
  </si>
  <si>
    <t>ΚΛΗΜΗΣ</t>
  </si>
  <si>
    <t>ΑΗ801859</t>
  </si>
  <si>
    <t>ΑΗ270984</t>
  </si>
  <si>
    <t>ΜΕΚΡΑΣ</t>
  </si>
  <si>
    <t>ΘΕΟΛΟΓΗΣ</t>
  </si>
  <si>
    <t>Φ056678</t>
  </si>
  <si>
    <t>ΠΑΡΟΥΣΗ</t>
  </si>
  <si>
    <t>ΑΑ227341</t>
  </si>
  <si>
    <t>Γρηγοριαδου</t>
  </si>
  <si>
    <t>Μαρθα</t>
  </si>
  <si>
    <t>Γρηγόριος</t>
  </si>
  <si>
    <t>ΑΜ655265</t>
  </si>
  <si>
    <t>1452,6</t>
  </si>
  <si>
    <t>ΚΟΤΣΙΑΔΟΥ</t>
  </si>
  <si>
    <t>ΑΑ403945</t>
  </si>
  <si>
    <t>1451,8</t>
  </si>
  <si>
    <t>ΚΟΖΑΛΗ</t>
  </si>
  <si>
    <t>ΑΚ292549</t>
  </si>
  <si>
    <t>1451,5</t>
  </si>
  <si>
    <t>ΑΜ288517</t>
  </si>
  <si>
    <t>ΧΑΡΑΚΟΠΟΥΛΟΥ</t>
  </si>
  <si>
    <t>ΙΩΣΗΦ</t>
  </si>
  <si>
    <t>ΑΗ564783</t>
  </si>
  <si>
    <t>Τ807061</t>
  </si>
  <si>
    <t>1448,5</t>
  </si>
  <si>
    <t>Ξ881791</t>
  </si>
  <si>
    <t>ΜΑΛΑΜΑ</t>
  </si>
  <si>
    <t>Ξ668347</t>
  </si>
  <si>
    <t>1446,8</t>
  </si>
  <si>
    <t>ΤΣΑΟΥΣΙΔΟΥ</t>
  </si>
  <si>
    <t>ΑΖ856130</t>
  </si>
  <si>
    <t>1446,5</t>
  </si>
  <si>
    <t>ΠΕΛΤΕΚΗ</t>
  </si>
  <si>
    <t>Ρ459009</t>
  </si>
  <si>
    <t>1082,4</t>
  </si>
  <si>
    <t>1446,4</t>
  </si>
  <si>
    <t>ΠΕΣΕΡΙΔΟΥ</t>
  </si>
  <si>
    <t>ΑΖ355957</t>
  </si>
  <si>
    <t>ΒΡΑΙΛΑ</t>
  </si>
  <si>
    <t>ΑΗ675033</t>
  </si>
  <si>
    <t>ΜΑΣΜΑΝΙΔΟΥ</t>
  </si>
  <si>
    <t>ΑΖ296750</t>
  </si>
  <si>
    <t>1444,7</t>
  </si>
  <si>
    <t>ΜΙΧΑΛΟΠΟΥΛΟΥ</t>
  </si>
  <si>
    <t>ΛΟΥΚΙΑ</t>
  </si>
  <si>
    <t>ΑΙ346989</t>
  </si>
  <si>
    <t>1443,2</t>
  </si>
  <si>
    <t>ΤΣΟΜΕΛΕΚΗ</t>
  </si>
  <si>
    <t>ΑΙ736710</t>
  </si>
  <si>
    <t>ΑΘΑΝΑΣΙΑΔΗ</t>
  </si>
  <si>
    <t>ΑΗ860741</t>
  </si>
  <si>
    <t>ΚΩΤΟΥΛΑ</t>
  </si>
  <si>
    <t>ΑΚ972285</t>
  </si>
  <si>
    <t>ΓΚΙΚΑ</t>
  </si>
  <si>
    <t>ΑΗ881050</t>
  </si>
  <si>
    <t>ΧΡΥΣΟΒΑΛΑΝΤΟΥ</t>
  </si>
  <si>
    <t>ΑΓΑΜΕΜΝΩΝ</t>
  </si>
  <si>
    <t>ΑΜ294218</t>
  </si>
  <si>
    <t>ΣΠΑΝΟΥ</t>
  </si>
  <si>
    <t>ΠΑΝΑΓΗΣ</t>
  </si>
  <si>
    <t>ΑΚ864546</t>
  </si>
  <si>
    <t>1442,7</t>
  </si>
  <si>
    <t>ΜΕΝΕΞΕ</t>
  </si>
  <si>
    <t>ΒΡΑΤΣΙΔΗ</t>
  </si>
  <si>
    <t>ΙΛΟΝΝΑ</t>
  </si>
  <si>
    <t>ΠΑΝΤΕΛΕΗΜΩΝ</t>
  </si>
  <si>
    <t>ΑΖ651278</t>
  </si>
  <si>
    <t>1442,4</t>
  </si>
  <si>
    <t>ΜΑΡΜΑΡΙΔΟΥ</t>
  </si>
  <si>
    <t>ΑΗ668948</t>
  </si>
  <si>
    <t>1441,6</t>
  </si>
  <si>
    <t>ΚΑΣΑΠΗ</t>
  </si>
  <si>
    <t>ΡΕΒΒΕΚΑ</t>
  </si>
  <si>
    <t>ΦΑΙΝΔΩΡ</t>
  </si>
  <si>
    <t>ΑΜ659725</t>
  </si>
  <si>
    <t>938,3</t>
  </si>
  <si>
    <t>1440,3</t>
  </si>
  <si>
    <t>ΝΙΚΟΛΑΚΑΚΗ</t>
  </si>
  <si>
    <t>ΑΖ461085</t>
  </si>
  <si>
    <t>ΦΡΟΝΙΜΑΔΗ</t>
  </si>
  <si>
    <t>Ρ879447</t>
  </si>
  <si>
    <t>1438,9</t>
  </si>
  <si>
    <t>ΝΙΩΤΗ</t>
  </si>
  <si>
    <t>ΑΒ004514</t>
  </si>
  <si>
    <t>1437,5</t>
  </si>
  <si>
    <t>ΑΚ402580</t>
  </si>
  <si>
    <t>ΑΕ648559</t>
  </si>
  <si>
    <t>ΑΖ333087</t>
  </si>
  <si>
    <t>ΑΒ694222</t>
  </si>
  <si>
    <t>ΡΑΠΤΟΠΟΥΛΟΥ</t>
  </si>
  <si>
    <t>ΑΕ207603</t>
  </si>
  <si>
    <t>ΦΡΕΙΔΕΡΙΚΟΣ</t>
  </si>
  <si>
    <t>Σ322996</t>
  </si>
  <si>
    <t>698,5</t>
  </si>
  <si>
    <t>1436,5</t>
  </si>
  <si>
    <t>ΝΤΟΜΠΡΕ</t>
  </si>
  <si>
    <t>ΚΑΡΜΕΝ ΛΙΛΙΑΝΑ</t>
  </si>
  <si>
    <t>ΑΝΕΥ</t>
  </si>
  <si>
    <t>ΑΜ570520</t>
  </si>
  <si>
    <t>1435,5</t>
  </si>
  <si>
    <t>ΤΣΑΛΟΚΩΣΤΑ</t>
  </si>
  <si>
    <t>ΑΝΘΗ</t>
  </si>
  <si>
    <t>ΑΒ410152</t>
  </si>
  <si>
    <t>ΚΑΛΛΙΝΙΩΤΗ</t>
  </si>
  <si>
    <t>Φ248536</t>
  </si>
  <si>
    <t>1434,5</t>
  </si>
  <si>
    <t>Ξ663902</t>
  </si>
  <si>
    <t>1433,8</t>
  </si>
  <si>
    <t>ΧΑΤΖΗΣΠΥΡΟΥ</t>
  </si>
  <si>
    <t>Σ302637</t>
  </si>
  <si>
    <t>1432,7</t>
  </si>
  <si>
    <t>ΓΚΟΨΗ</t>
  </si>
  <si>
    <t>ΗΛΙΑΝΑ</t>
  </si>
  <si>
    <t>Χ866784</t>
  </si>
  <si>
    <t>1432,2</t>
  </si>
  <si>
    <t>ΝΤΟΜΠΡΙΟΥ</t>
  </si>
  <si>
    <t>ΒΑΡΒΑΡΑ ΟΛΓΑ</t>
  </si>
  <si>
    <t>ΠΕΛΟΠΙΔΑΣ</t>
  </si>
  <si>
    <t>Π902597</t>
  </si>
  <si>
    <t>1431,5</t>
  </si>
  <si>
    <t>ΣΩΤΗΡΟΥΔΗ</t>
  </si>
  <si>
    <t>ΑΖ174089</t>
  </si>
  <si>
    <t>1430,2</t>
  </si>
  <si>
    <t>ΕΛΕΖΟΓΛΟΥ</t>
  </si>
  <si>
    <t>Π803027</t>
  </si>
  <si>
    <t>ΖΑΦΡΑΝΤΖΑ</t>
  </si>
  <si>
    <t>ΑΕ678333</t>
  </si>
  <si>
    <t>810,7</t>
  </si>
  <si>
    <t>1428,7</t>
  </si>
  <si>
    <t>ΠΑΝΤΕΛΙΔΟΥ</t>
  </si>
  <si>
    <t>Χ458716</t>
  </si>
  <si>
    <t>1428,5</t>
  </si>
  <si>
    <t>ΑΙΝΑΛΗ</t>
  </si>
  <si>
    <t>ΑΚ286576</t>
  </si>
  <si>
    <t>1427,3</t>
  </si>
  <si>
    <t>ΜΠΟΥΛΑΚΑΣ</t>
  </si>
  <si>
    <t>ΜΑΤΘΑΙΟΣ</t>
  </si>
  <si>
    <t>Χ228016</t>
  </si>
  <si>
    <t>ΖΙΑΚΑ</t>
  </si>
  <si>
    <t>ΕΥΛΟΓΙΑ</t>
  </si>
  <si>
    <t>ΑΝ346756</t>
  </si>
  <si>
    <t>1426,5</t>
  </si>
  <si>
    <t>ΦΛΟΥΡΙΔΟΥ</t>
  </si>
  <si>
    <t>ΛΟΥΛΟΥΔΙΑ</t>
  </si>
  <si>
    <t>ΑΚ891645</t>
  </si>
  <si>
    <t>1425,1</t>
  </si>
  <si>
    <t>Φ153813</t>
  </si>
  <si>
    <t>1424,8</t>
  </si>
  <si>
    <t>ΕΥΣΤΑΘΙΟ</t>
  </si>
  <si>
    <t>ΑΗ665544</t>
  </si>
  <si>
    <t>1424,5</t>
  </si>
  <si>
    <t>ΤΣΑΒΛΗ</t>
  </si>
  <si>
    <t>ΑΒ373031</t>
  </si>
  <si>
    <t>1422,1</t>
  </si>
  <si>
    <t>ΠΑΝΤΑΖΟΠΟΥΛΟΣ</t>
  </si>
  <si>
    <t>ΑΜ301470</t>
  </si>
  <si>
    <t>ΑΡΓΥΡΟΠΟΥΛΟΣ</t>
  </si>
  <si>
    <t>ΑΕ642282</t>
  </si>
  <si>
    <t>ΑΗ176224</t>
  </si>
  <si>
    <t>1419,1</t>
  </si>
  <si>
    <t>Τ065658</t>
  </si>
  <si>
    <t>1418,7</t>
  </si>
  <si>
    <t>Τ840021</t>
  </si>
  <si>
    <t>799,7</t>
  </si>
  <si>
    <t>1417,7</t>
  </si>
  <si>
    <t>ΕΥΦΗΜΙΑ</t>
  </si>
  <si>
    <t>ΑΒ858710</t>
  </si>
  <si>
    <t>ΣΑΓΙΑΤΣΗ</t>
  </si>
  <si>
    <t>ΑΗ298355</t>
  </si>
  <si>
    <t>856,9</t>
  </si>
  <si>
    <t>1416,9</t>
  </si>
  <si>
    <t>ΣΑΚΚΟΥΛΑ</t>
  </si>
  <si>
    <t>ΑΖ687381</t>
  </si>
  <si>
    <t>1416,3</t>
  </si>
  <si>
    <t>ΤΣΙΑΝΤΟΥΛΗ</t>
  </si>
  <si>
    <t>Ρ887500</t>
  </si>
  <si>
    <t>911,9</t>
  </si>
  <si>
    <t>1415,9</t>
  </si>
  <si>
    <t>ΜΗΝΑ</t>
  </si>
  <si>
    <t>ΖΟΥΜΠΟΥΛΙΑ</t>
  </si>
  <si>
    <t>ΝΕΡΑΤΖΗΣ</t>
  </si>
  <si>
    <t>Σ489248</t>
  </si>
  <si>
    <t>ΒΑΚΟΥΦΤΣΗ</t>
  </si>
  <si>
    <t>ΧΑΡΟΥΛΑ</t>
  </si>
  <si>
    <t>ΑΑ391238</t>
  </si>
  <si>
    <t>ΥΦΑΝΤΙΔΟΥ</t>
  </si>
  <si>
    <t>Χ768649</t>
  </si>
  <si>
    <t>ΚΙΤΣΑΚΗ</t>
  </si>
  <si>
    <t>ΑΜ286394</t>
  </si>
  <si>
    <t>775,5</t>
  </si>
  <si>
    <t>1413,5</t>
  </si>
  <si>
    <t>Σαρίκου</t>
  </si>
  <si>
    <t>ΑΖ664274</t>
  </si>
  <si>
    <t>ΚΑΚΑΡΟΓΛΟΥ</t>
  </si>
  <si>
    <t>ΕΡΑΣΜΙΑ</t>
  </si>
  <si>
    <t>Φ159181</t>
  </si>
  <si>
    <t>ΜΠΑΛΑΣΚΑΣ</t>
  </si>
  <si>
    <t>ΑΜ686418</t>
  </si>
  <si>
    <t>ΚΑΡΥΠΟΓΛΟΥ</t>
  </si>
  <si>
    <t>ΑΕ689955</t>
  </si>
  <si>
    <t>ΣΟΥΣΑΝΑ</t>
  </si>
  <si>
    <t>ΑΕ209650</t>
  </si>
  <si>
    <t>861,3</t>
  </si>
  <si>
    <t>1412,3</t>
  </si>
  <si>
    <t>ΠΑΠΑΧΡΗΣΤΟΣ</t>
  </si>
  <si>
    <t>ΑΖ251020</t>
  </si>
  <si>
    <t>1411,5</t>
  </si>
  <si>
    <t>ΦΕΡΦΥΡΗ</t>
  </si>
  <si>
    <t>ΑΗ284432</t>
  </si>
  <si>
    <t>ΠΕΤΣΗ</t>
  </si>
  <si>
    <t>ΑΜ652065</t>
  </si>
  <si>
    <t>806,3</t>
  </si>
  <si>
    <t>1410,3</t>
  </si>
  <si>
    <t>ΙΑΚΩΒΟΣ</t>
  </si>
  <si>
    <t>ΑΖ080510</t>
  </si>
  <si>
    <t>ΑΗ298318</t>
  </si>
  <si>
    <t>1407,5</t>
  </si>
  <si>
    <t>ΚΟΝΤΟΓΟΥΝΑΚΗ</t>
  </si>
  <si>
    <t>ΑΝ195554</t>
  </si>
  <si>
    <t>ΑΙ728826</t>
  </si>
  <si>
    <t>ΚΡΥΩΝΑΣ</t>
  </si>
  <si>
    <t>ΑΑ255027</t>
  </si>
  <si>
    <t>ΜΗΤΣΗ</t>
  </si>
  <si>
    <t>ΑΖ658856</t>
  </si>
  <si>
    <t>1404,5</t>
  </si>
  <si>
    <t>ΚΩΝΣΤΑΝΤΙΝΙΔΗΣ</t>
  </si>
  <si>
    <t>ΛΑΥΡΕΝΤΙΟΣ</t>
  </si>
  <si>
    <t>ΑΗ177898</t>
  </si>
  <si>
    <t>ΧΟΝΔΡΟΜΑΤΙΔΟΥ</t>
  </si>
  <si>
    <t>ΒΑΣΙΛΕΙΑ</t>
  </si>
  <si>
    <t>ΑΕ336751</t>
  </si>
  <si>
    <t>1403,5</t>
  </si>
  <si>
    <t>ΜΕΙΤΑΝΙΔΗΣ</t>
  </si>
  <si>
    <t>ΑΚ924301</t>
  </si>
  <si>
    <t>815,1</t>
  </si>
  <si>
    <t>1403,1</t>
  </si>
  <si>
    <t>ΧΡΥΣΟΚΕΦΑΛΟΣ</t>
  </si>
  <si>
    <t>Ρ711723</t>
  </si>
  <si>
    <t>1402,7</t>
  </si>
  <si>
    <t>ΧΗΝΙΤΙΔΟΥ</t>
  </si>
  <si>
    <t>ΑΚ909308</t>
  </si>
  <si>
    <t>1402,5</t>
  </si>
  <si>
    <t>ΤΣΑΝΤΑ</t>
  </si>
  <si>
    <t>ΑΜ270645</t>
  </si>
  <si>
    <t>1402,3</t>
  </si>
  <si>
    <t>ΦΑΡΜΑΚΗΣ</t>
  </si>
  <si>
    <t>ΑΖ696922</t>
  </si>
  <si>
    <t>663,3</t>
  </si>
  <si>
    <t>1401,3</t>
  </si>
  <si>
    <t>ΚΑΙΜΑΚΑΜΗ</t>
  </si>
  <si>
    <t>ΑΜ814105</t>
  </si>
  <si>
    <t>1399,5</t>
  </si>
  <si>
    <t>ΕΞΙΖΟΓΛΟΥ</t>
  </si>
  <si>
    <t>ΜΥΡΟΦΟΡΑ</t>
  </si>
  <si>
    <t>ΑΖ317344</t>
  </si>
  <si>
    <t>ΟΙΚΟΝΟΜΙΔΗΣ</t>
  </si>
  <si>
    <t>ΑΜ509731</t>
  </si>
  <si>
    <t>ΚΟΤΣΑΚΙΩΤΗ</t>
  </si>
  <si>
    <t>Τ840022</t>
  </si>
  <si>
    <t>Φ327935</t>
  </si>
  <si>
    <t>ΚΑΡΑΙΟΡΔΑΝΙΔΟΥ</t>
  </si>
  <si>
    <t>Χ816329</t>
  </si>
  <si>
    <t>ΔΟΝΤΑΚΗ</t>
  </si>
  <si>
    <t>ΑΑ050641</t>
  </si>
  <si>
    <t>Ν536712</t>
  </si>
  <si>
    <t>ΑΡΒΑΝΙΤΑΚΗ</t>
  </si>
  <si>
    <t>ΑΝ222728</t>
  </si>
  <si>
    <t>809,6</t>
  </si>
  <si>
    <t>1397,6</t>
  </si>
  <si>
    <t>ΠΑΠΑΓΙΑΝΝΟΠΟΥΛΟΣ</t>
  </si>
  <si>
    <t>ΑΕ681008</t>
  </si>
  <si>
    <t>ΝΑΤΣΙΟΥ</t>
  </si>
  <si>
    <t>ΑΝ206121</t>
  </si>
  <si>
    <t>1397,2</t>
  </si>
  <si>
    <t>ΦΟΛΛΑ</t>
  </si>
  <si>
    <t>Χ760177</t>
  </si>
  <si>
    <t>Φ340383</t>
  </si>
  <si>
    <t>1396,5</t>
  </si>
  <si>
    <t>ΠΑΠΑΕΥΣΤΑΘΙΟΥ</t>
  </si>
  <si>
    <t>ΑΒ672650</t>
  </si>
  <si>
    <t>1396,1</t>
  </si>
  <si>
    <t>ΣΑΙΔΕΣ</t>
  </si>
  <si>
    <t>Φ320246</t>
  </si>
  <si>
    <t>ΑΙ163715</t>
  </si>
  <si>
    <t>ΧΑΒΙΑΝΙΔΟΥ</t>
  </si>
  <si>
    <t>ΑΙ158808</t>
  </si>
  <si>
    <t>ΤΑΟΥΣΙΑΝΗ</t>
  </si>
  <si>
    <t>ΜΑΡΙΑΝΝΑ ΣΟΦΙΑ</t>
  </si>
  <si>
    <t>ΑΕ208788</t>
  </si>
  <si>
    <t>776,6</t>
  </si>
  <si>
    <t>1394,6</t>
  </si>
  <si>
    <t>ΠΑΛΤΙΔΗΣ</t>
  </si>
  <si>
    <t>Ν420088</t>
  </si>
  <si>
    <t>1394,3</t>
  </si>
  <si>
    <t>ΑΚ524888</t>
  </si>
  <si>
    <t>ΤΑΜΠΑΚΗ</t>
  </si>
  <si>
    <t>ΕΛΕΑΝΑ</t>
  </si>
  <si>
    <t>ΓΕΩΡΓΙΟΣ ΤΑΜΠΑΚΗΣ</t>
  </si>
  <si>
    <t>ΑΑ307696</t>
  </si>
  <si>
    <t>1393,6</t>
  </si>
  <si>
    <t>Ρ184271</t>
  </si>
  <si>
    <t>1393,5</t>
  </si>
  <si>
    <t>ΣΦΑΚΙΑΝΑΚΗ</t>
  </si>
  <si>
    <t>ΑΜ657734</t>
  </si>
  <si>
    <t>745,8</t>
  </si>
  <si>
    <t>1392,8</t>
  </si>
  <si>
    <t>ΠΕΤΡΑ</t>
  </si>
  <si>
    <t>ΑΓΓΕΛΑ</t>
  </si>
  <si>
    <t>ΑΚ869555</t>
  </si>
  <si>
    <t xml:space="preserve">ΣΑΜΑΡΑ </t>
  </si>
  <si>
    <t xml:space="preserve">ΑΝΑΣΤΑΣΙΑ </t>
  </si>
  <si>
    <t xml:space="preserve">ΚΩΝΣΤΑΝΤΙΝΟΣ </t>
  </si>
  <si>
    <t>Χ734206</t>
  </si>
  <si>
    <t>ΠΕΤΚΑΝΗ</t>
  </si>
  <si>
    <t>ΑΖ801748</t>
  </si>
  <si>
    <t>687,5</t>
  </si>
  <si>
    <t>1390,5</t>
  </si>
  <si>
    <t>ΑΗ674312</t>
  </si>
  <si>
    <t>1389,1</t>
  </si>
  <si>
    <t>ΚΑΦΕΤΖΗ</t>
  </si>
  <si>
    <t>ΑΚ934259</t>
  </si>
  <si>
    <t>800,8</t>
  </si>
  <si>
    <t>1388,8</t>
  </si>
  <si>
    <t>ΒΕΛΛΙΔΟΥ</t>
  </si>
  <si>
    <t>ΜΑΡΓΑΡΙΤΗΣ</t>
  </si>
  <si>
    <t>Π790705</t>
  </si>
  <si>
    <t>1388,5</t>
  </si>
  <si>
    <t>ΑΚ939317</t>
  </si>
  <si>
    <t>1387,4</t>
  </si>
  <si>
    <t>ΚΑΡΑΠΑΝΑΓΙΩΤΗ</t>
  </si>
  <si>
    <t>ΕΥΘΑΛΙΑ</t>
  </si>
  <si>
    <t>ΑΚ340681</t>
  </si>
  <si>
    <t>ΠΑΠΑΧΡΗΣΤΟΥ</t>
  </si>
  <si>
    <t>ΑΜ683279</t>
  </si>
  <si>
    <t>798,6</t>
  </si>
  <si>
    <t>1386,6</t>
  </si>
  <si>
    <t>ΑΜ411293</t>
  </si>
  <si>
    <t>1386,5</t>
  </si>
  <si>
    <t>ΜΑΝΤΖΑΚΙΔΟΥ</t>
  </si>
  <si>
    <t>ΑΕ170553</t>
  </si>
  <si>
    <t>674,3</t>
  </si>
  <si>
    <t>1386,3</t>
  </si>
  <si>
    <t>ΑΜ271694</t>
  </si>
  <si>
    <t>Σ867016</t>
  </si>
  <si>
    <t>1385,5</t>
  </si>
  <si>
    <t>ΣΑΡΙΔΟΥ</t>
  </si>
  <si>
    <t>ΑΒ686255</t>
  </si>
  <si>
    <t>ΣΤΑΥΡΑΚΙΔΟΥ</t>
  </si>
  <si>
    <t>ΑΗ192388</t>
  </si>
  <si>
    <t>ΜΩΡΑΙΤΟΥ</t>
  </si>
  <si>
    <t>ΒΑΣΙΛEIA</t>
  </si>
  <si>
    <t>ΑΑ234800</t>
  </si>
  <si>
    <t>727,1</t>
  </si>
  <si>
    <t>1385,1</t>
  </si>
  <si>
    <t>ΣΚΕΝΤΖΙΟΣ</t>
  </si>
  <si>
    <t>ΑΗ296655</t>
  </si>
  <si>
    <t>1384,3</t>
  </si>
  <si>
    <t>ΝΑΣΙΟΥ</t>
  </si>
  <si>
    <t>ΑΝ340249</t>
  </si>
  <si>
    <t>866,8</t>
  </si>
  <si>
    <t>1382,8</t>
  </si>
  <si>
    <t>ΧΑΡΤΟΜΑΤΣΙΔΟΥ</t>
  </si>
  <si>
    <t>ΣΟΥΜΕΛΑ</t>
  </si>
  <si>
    <t>ΑΗ855732</t>
  </si>
  <si>
    <t>ΤΣΕΧΕΛΙΔΟΥ</t>
  </si>
  <si>
    <t>ΑΕ815630</t>
  </si>
  <si>
    <t>703-705-702</t>
  </si>
  <si>
    <t>ΑΒ373030</t>
  </si>
  <si>
    <t>ΜΑΥΡΟΜΑΤΙΔΟΥ</t>
  </si>
  <si>
    <t>ΡΗΝΟΥΛΑ</t>
  </si>
  <si>
    <t>ΑΚ259897</t>
  </si>
  <si>
    <t>ΤΣΟΥΖΙΔΟΥ</t>
  </si>
  <si>
    <t>Ξ495407</t>
  </si>
  <si>
    <t>1379,5</t>
  </si>
  <si>
    <t>ΜΠΟΥΤΣΙΟΥΚΗΣ</t>
  </si>
  <si>
    <t>ΔΗΜΟΣΘΕΝΗΣ</t>
  </si>
  <si>
    <t>ΑΙ158651</t>
  </si>
  <si>
    <t>ΜΟΥΖΑΚΙΤΗ</t>
  </si>
  <si>
    <t>ΑΖ131481</t>
  </si>
  <si>
    <t>ΚΑΤΕΡΤΣΙΔΟΥ</t>
  </si>
  <si>
    <t>Χ746947</t>
  </si>
  <si>
    <t>1378,9</t>
  </si>
  <si>
    <t>ΤΣΟΜΠΑΝΙΔΟΥ</t>
  </si>
  <si>
    <t>ΘΕΟΛΟΓΟΣ</t>
  </si>
  <si>
    <t>ΑΚ289665</t>
  </si>
  <si>
    <t>689,7</t>
  </si>
  <si>
    <t>1377,7</t>
  </si>
  <si>
    <t>ΠΑΠΑΡΟΥΝΑ</t>
  </si>
  <si>
    <t>ΑΒ686794</t>
  </si>
  <si>
    <t>1377,5</t>
  </si>
  <si>
    <t>ΓΙΟΒΑΝΤΣΑΚΗ</t>
  </si>
  <si>
    <t>ΑΗ857663</t>
  </si>
  <si>
    <t>1377,3</t>
  </si>
  <si>
    <t>ΜΠΕΚΙΑΡΗΣ</t>
  </si>
  <si>
    <t>Π937373</t>
  </si>
  <si>
    <t>ΒΡΥΣΟΠΟΥΛΟΥ</t>
  </si>
  <si>
    <t>ΑΕ163154</t>
  </si>
  <si>
    <t>1374,5</t>
  </si>
  <si>
    <t>ΚΟΥΛΕΛΗ</t>
  </si>
  <si>
    <t>ΑΕ864387</t>
  </si>
  <si>
    <t>1373,6</t>
  </si>
  <si>
    <t>ΤΣΟΛΑΚΗΣ</t>
  </si>
  <si>
    <t>ΑΗ045104</t>
  </si>
  <si>
    <t>ΤΕΝΕΖΟΥ</t>
  </si>
  <si>
    <t>Π848444</t>
  </si>
  <si>
    <t>1372,5</t>
  </si>
  <si>
    <t>ΧΑΤΖΗΣΤΑΥΡΟΥ</t>
  </si>
  <si>
    <t>ΑΒ359905</t>
  </si>
  <si>
    <t>1372,3</t>
  </si>
  <si>
    <t>ΣΑΡΑΦΙΔΟΥ</t>
  </si>
  <si>
    <t>ΑΖ328950</t>
  </si>
  <si>
    <t>ΤΣΟΚΑΝΗ</t>
  </si>
  <si>
    <t>ΑΕ487100</t>
  </si>
  <si>
    <t>760,1</t>
  </si>
  <si>
    <t>1372,1</t>
  </si>
  <si>
    <t>ΤΖΗΚΑΛΙΟΥ</t>
  </si>
  <si>
    <t>ΑΙ333904</t>
  </si>
  <si>
    <t>1371,5</t>
  </si>
  <si>
    <t>ΚΡΥΩΝΗΣ</t>
  </si>
  <si>
    <t>ΔΗΜΗΤΡ</t>
  </si>
  <si>
    <t>ΑΕ054805</t>
  </si>
  <si>
    <t>751,3</t>
  </si>
  <si>
    <t>1369,3</t>
  </si>
  <si>
    <t>ΚΥΡΑΤΖΗ</t>
  </si>
  <si>
    <t>ΓΡΑΜΜΑΤΟΥΛΑ</t>
  </si>
  <si>
    <t>Χ253121</t>
  </si>
  <si>
    <t>ΤΣΙΓΑΡΑ</t>
  </si>
  <si>
    <t>ΑΚ255088</t>
  </si>
  <si>
    <t>1367,9</t>
  </si>
  <si>
    <t>ΤΣΑΛΟΥΜΗ</t>
  </si>
  <si>
    <t>Π538672</t>
  </si>
  <si>
    <t>ΤΡΟΜΠΟΥΚΗ</t>
  </si>
  <si>
    <t>Σ357471</t>
  </si>
  <si>
    <t>1366,3</t>
  </si>
  <si>
    <t>ΑΛΙΓΙΖΑΚΗ</t>
  </si>
  <si>
    <t>Ρ145453</t>
  </si>
  <si>
    <t>ΚΕΤΣΕΤΖΗ</t>
  </si>
  <si>
    <t>ΑΕ164332</t>
  </si>
  <si>
    <t>ΙΟΡΔΑΝΙΔΟΥ</t>
  </si>
  <si>
    <t>ΕΥΤΥΧΙΑ</t>
  </si>
  <si>
    <t>ΑΑ261076</t>
  </si>
  <si>
    <t>1365,7</t>
  </si>
  <si>
    <t>Χ391567</t>
  </si>
  <si>
    <t>1365,5</t>
  </si>
  <si>
    <t>ΚΑΜΠΑΡΔΙΝΑ</t>
  </si>
  <si>
    <t>ΑΒ365465</t>
  </si>
  <si>
    <t>1363,7</t>
  </si>
  <si>
    <t>ΑΖ824724</t>
  </si>
  <si>
    <t>917,4</t>
  </si>
  <si>
    <t>1363,4</t>
  </si>
  <si>
    <t>ΚΙΤΣΙΔΟΥ</t>
  </si>
  <si>
    <t>Π803151</t>
  </si>
  <si>
    <t>1362,5</t>
  </si>
  <si>
    <t>ΓΑΡΟΥΦΑ</t>
  </si>
  <si>
    <t>ΑΕ685492</t>
  </si>
  <si>
    <t>1361,5</t>
  </si>
  <si>
    <t>ΔΟΚΑΛΗ</t>
  </si>
  <si>
    <t>ΑΗ676890</t>
  </si>
  <si>
    <t>ΔΡΙΣΤΕΛΛΑ</t>
  </si>
  <si>
    <t>ΑΖ267060</t>
  </si>
  <si>
    <t>ΣΙΩΤΑ</t>
  </si>
  <si>
    <t>ΑΖ289459</t>
  </si>
  <si>
    <t>ΚΑΚΑΖΙΑΝΝΗ</t>
  </si>
  <si>
    <t>ΝΕΦΕΛΗ</t>
  </si>
  <si>
    <t>ΑΙ286878</t>
  </si>
  <si>
    <t>ΑΜ688079</t>
  </si>
  <si>
    <t>ΜΥΛΟΝΟΓΛΟΥ</t>
  </si>
  <si>
    <t>Φ163993</t>
  </si>
  <si>
    <t>1356,5</t>
  </si>
  <si>
    <t>ΜΑΖΑΡΑΚΗ</t>
  </si>
  <si>
    <t>ΓΑΒΡΙΕΛΑ</t>
  </si>
  <si>
    <t>Χ251625</t>
  </si>
  <si>
    <t>ΣΤΕΦΑΝΟΥ</t>
  </si>
  <si>
    <t>ΗΡΩ</t>
  </si>
  <si>
    <t>ΑΙ724728</t>
  </si>
  <si>
    <t>1355,2</t>
  </si>
  <si>
    <t>ΕΥΘΥΜΙΟΥ</t>
  </si>
  <si>
    <t>ΧΑΙΔΗ</t>
  </si>
  <si>
    <t>Σ457718</t>
  </si>
  <si>
    <t>1353,5</t>
  </si>
  <si>
    <t>ΔΙΟΓΕΝΗΣ</t>
  </si>
  <si>
    <t>ΑΗ195298</t>
  </si>
  <si>
    <t>734,8</t>
  </si>
  <si>
    <t>1352,8</t>
  </si>
  <si>
    <t>ΜΙΓΔΑΝΗ</t>
  </si>
  <si>
    <t>Τ827125</t>
  </si>
  <si>
    <t>764,5</t>
  </si>
  <si>
    <t>1352,5</t>
  </si>
  <si>
    <t>ΔΟΥΛΚΕΡΙΔΟΥ</t>
  </si>
  <si>
    <t>ΠΕΛΑΓΙΑ</t>
  </si>
  <si>
    <t>Π776607</t>
  </si>
  <si>
    <t>1351,3</t>
  </si>
  <si>
    <t>ΜΑΤΖΙΑΡΗΣ</t>
  </si>
  <si>
    <t>ΑΖ185982</t>
  </si>
  <si>
    <t>ΜΑΝΤΙΚΑ</t>
  </si>
  <si>
    <t>ΑΒ303509</t>
  </si>
  <si>
    <t>ΖΑΧΑΡΑΚΗ</t>
  </si>
  <si>
    <t>ΑΗ291182</t>
  </si>
  <si>
    <t>1349,7</t>
  </si>
  <si>
    <t>ΜΠΑΤΑΛΑΜΑ</t>
  </si>
  <si>
    <t>ΧΑΡΙΣΕΙΑ</t>
  </si>
  <si>
    <t>ΑΒ689523</t>
  </si>
  <si>
    <t>1349,1</t>
  </si>
  <si>
    <t>ΓΕΩΡΓΑΛΗ</t>
  </si>
  <si>
    <t>Φ321257</t>
  </si>
  <si>
    <t>ΚΑΙΑΦΑ</t>
  </si>
  <si>
    <t>ΑΜ310649</t>
  </si>
  <si>
    <t>1348,5</t>
  </si>
  <si>
    <t>GAYRAUD</t>
  </si>
  <si>
    <t>PASCAL-ANDRE</t>
  </si>
  <si>
    <t>YVES</t>
  </si>
  <si>
    <t>0812SKG000</t>
  </si>
  <si>
    <t>ΕΛΕΥΘΕΡΙΑΔΗΣ</t>
  </si>
  <si>
    <t>ΧΡΗΣΤΟΣ-ΚΩΝΣΤΑΝΤΙΝΟΣ</t>
  </si>
  <si>
    <t>ΑΚ297264</t>
  </si>
  <si>
    <t>1347,7</t>
  </si>
  <si>
    <t>Ξ591181</t>
  </si>
  <si>
    <t>1347,6</t>
  </si>
  <si>
    <t>ΒΑΛΤΑΔΩΡΟΣ</t>
  </si>
  <si>
    <t>ΠΑΡΑΣΚΕΥΑΣ</t>
  </si>
  <si>
    <t>Ρ876494</t>
  </si>
  <si>
    <t>ΓΚΙΡΜΠΑ</t>
  </si>
  <si>
    <t>ΑΑ261824</t>
  </si>
  <si>
    <t>ΜΠΑΔΗ</t>
  </si>
  <si>
    <t>ΧΡΗΣΤΑΚΗΣ</t>
  </si>
  <si>
    <t>ΑΕ371251</t>
  </si>
  <si>
    <t>ΑΙ166231</t>
  </si>
  <si>
    <t>763,4</t>
  </si>
  <si>
    <t>1346,4</t>
  </si>
  <si>
    <t>ΚΥΡΙΑΚΙΔΗΣ</t>
  </si>
  <si>
    <t>ΑΖ664346</t>
  </si>
  <si>
    <t>1345,5</t>
  </si>
  <si>
    <t>ΑΓΙΑΝΝΙΤΟΥ</t>
  </si>
  <si>
    <t>ΑΚ251007</t>
  </si>
  <si>
    <t>756,8</t>
  </si>
  <si>
    <t>1344,8</t>
  </si>
  <si>
    <t>ΒΑΣΙΛΕΙΑΔΟΥ</t>
  </si>
  <si>
    <t>ΑΒ460562</t>
  </si>
  <si>
    <t>1344,4</t>
  </si>
  <si>
    <t>ΑΖ744979</t>
  </si>
  <si>
    <t>ΑΛΕΞΙΑΔΗ</t>
  </si>
  <si>
    <t>ΑΕ101484</t>
  </si>
  <si>
    <t>1343,8</t>
  </si>
  <si>
    <t>ΑΣΗΜΑΚΟΠΠΟΥΛΟΣ</t>
  </si>
  <si>
    <t>ΑΚ409560</t>
  </si>
  <si>
    <t>754,6</t>
  </si>
  <si>
    <t>1342,6</t>
  </si>
  <si>
    <t>ΒΑΣΙΛΑΚΟΣ</t>
  </si>
  <si>
    <t>Σ755439</t>
  </si>
  <si>
    <t>ΧΑΤΖΗΑΠΟΣΤΟΛΟΥ</t>
  </si>
  <si>
    <t>ΑΜ682954</t>
  </si>
  <si>
    <t>ΧΡΙΣΤΟΦΥΛΛΑΚΗ</t>
  </si>
  <si>
    <t>ΑΜ709730</t>
  </si>
  <si>
    <t>ΤΣΙΑΚΙΡΗ</t>
  </si>
  <si>
    <t>702-705-703</t>
  </si>
  <si>
    <t>ΡΟΔΑΝΘΗ</t>
  </si>
  <si>
    <t>ΑΗ146628</t>
  </si>
  <si>
    <t>1341,5</t>
  </si>
  <si>
    <t>ΜΟΥΣΤΑΚΙΔΟΥ</t>
  </si>
  <si>
    <t>Φ470291</t>
  </si>
  <si>
    <t>1338,6</t>
  </si>
  <si>
    <t>ΣΑΦΡΑΜΗ</t>
  </si>
  <si>
    <t>ΑΚ908133</t>
  </si>
  <si>
    <t>ΦΟΥΣΕΚΗ</t>
  </si>
  <si>
    <t>Ξ610198</t>
  </si>
  <si>
    <t>ΚΟΣΜΙΔΟΥ</t>
  </si>
  <si>
    <t>ΑΚ872609</t>
  </si>
  <si>
    <t>719,4</t>
  </si>
  <si>
    <t>1337,4</t>
  </si>
  <si>
    <t>ΓΕΩΡΓΟΥΛΙΑ</t>
  </si>
  <si>
    <t>ΧΑΡΙΛΑΟΣ</t>
  </si>
  <si>
    <t>ΑΗ192991</t>
  </si>
  <si>
    <t>1336,7</t>
  </si>
  <si>
    <t>ΒΑΝΔΟΥΛΑΚΗ</t>
  </si>
  <si>
    <t>ΑΑ493831</t>
  </si>
  <si>
    <t>1336,1</t>
  </si>
  <si>
    <t>ΓΙΟΥΨΑΝΗ</t>
  </si>
  <si>
    <t>ΑΒ874500</t>
  </si>
  <si>
    <t>ΠΑΤΣΙΑΤΖΗ</t>
  </si>
  <si>
    <t>ΑΚ882616</t>
  </si>
  <si>
    <t>ΜΑΡΚΙΔΟΥ</t>
  </si>
  <si>
    <t>ΑΗ696095</t>
  </si>
  <si>
    <t>1334,6</t>
  </si>
  <si>
    <t>Φ180009</t>
  </si>
  <si>
    <t>1334,4</t>
  </si>
  <si>
    <t>ΤΣΟΡΑΓΛΟΥ</t>
  </si>
  <si>
    <t>ΓΙΑΣΕΜΗ ΕΙΡΗΝΗ</t>
  </si>
  <si>
    <t>ΑΑ369735</t>
  </si>
  <si>
    <t>ΠΑΠΑΔΟΥΛΗ</t>
  </si>
  <si>
    <t>ΑΕ490532</t>
  </si>
  <si>
    <t>1332,5</t>
  </si>
  <si>
    <t>ΓΚΑΝΑΤΖΟΥ</t>
  </si>
  <si>
    <t>ΦΙΛΙΠΠΟΣ</t>
  </si>
  <si>
    <t>ΑΕ313514</t>
  </si>
  <si>
    <t>ΚΙΝΤΗ</t>
  </si>
  <si>
    <t>ΦΩΤΕΙΝΗ-ΗΡΩ</t>
  </si>
  <si>
    <t>Χ791814</t>
  </si>
  <si>
    <t>1331,5</t>
  </si>
  <si>
    <t>ΔΕΛΝΙΩΤΟΥ</t>
  </si>
  <si>
    <t>Σ901371</t>
  </si>
  <si>
    <t>1331,2</t>
  </si>
  <si>
    <t>ΠΑΠΑΛΑΣΚΑΡΗΣ</t>
  </si>
  <si>
    <t>ΑΒ459209</t>
  </si>
  <si>
    <t>1330,5</t>
  </si>
  <si>
    <t>ΚΙΡΜΑΝΙΑΝ</t>
  </si>
  <si>
    <t>Σ751004</t>
  </si>
  <si>
    <t>1329,5</t>
  </si>
  <si>
    <t>ΒΟΥΖΒΟΥΡΗ</t>
  </si>
  <si>
    <t>ΔΙΑΜΑΝΤΗΣ</t>
  </si>
  <si>
    <t>Φ184382</t>
  </si>
  <si>
    <t>ΑΛΒΑΝΟΠΟΥΛΟΥ</t>
  </si>
  <si>
    <t>Σ319740</t>
  </si>
  <si>
    <t>ΑΖ677909</t>
  </si>
  <si>
    <t>1328,3</t>
  </si>
  <si>
    <t>ΚΥΡΜΑΝΙΔΟΥ</t>
  </si>
  <si>
    <t>ΑΒ167114</t>
  </si>
  <si>
    <t>1327,5</t>
  </si>
  <si>
    <t>ΓΕΡΟΓΙΑΝΝΗ</t>
  </si>
  <si>
    <t>ΑΝΔΡΙΑΝΗ</t>
  </si>
  <si>
    <t>ΑΕ186845</t>
  </si>
  <si>
    <t>ΦΕΤΛΗ</t>
  </si>
  <si>
    <t>ΑΒ159130</t>
  </si>
  <si>
    <t>1327,3</t>
  </si>
  <si>
    <t>ΑΒ715984</t>
  </si>
  <si>
    <t>1327,2</t>
  </si>
  <si>
    <t>ΝΤΑΛΚΑΡΑΝΙΔΟΥ</t>
  </si>
  <si>
    <t>Χ466613</t>
  </si>
  <si>
    <t>1326,5</t>
  </si>
  <si>
    <t>ΑΑ257310</t>
  </si>
  <si>
    <t>738,1</t>
  </si>
  <si>
    <t>1326,1</t>
  </si>
  <si>
    <t>ΚΑΡΑΚΛΙΕΒΑ</t>
  </si>
  <si>
    <t>ΙΝΝΑ</t>
  </si>
  <si>
    <t>Χ734208</t>
  </si>
  <si>
    <t>ΠΑΠΑΒΑΣΙΛΕΙΟΥ</t>
  </si>
  <si>
    <t>ΑΝ346331</t>
  </si>
  <si>
    <t>ΑΕ331895</t>
  </si>
  <si>
    <t>1031,8</t>
  </si>
  <si>
    <t>1325,8</t>
  </si>
  <si>
    <t>ΖΩΓΙΟΥ</t>
  </si>
  <si>
    <t>ΘΕΟΦΑΝΗ</t>
  </si>
  <si>
    <t>ΑΜ680884</t>
  </si>
  <si>
    <t>1325,5</t>
  </si>
  <si>
    <t>ΜΩΣΑΙΔΗΣ</t>
  </si>
  <si>
    <t>ΑΚ979062</t>
  </si>
  <si>
    <t>1324,5</t>
  </si>
  <si>
    <t>ΑΖ790234</t>
  </si>
  <si>
    <t>ΜΙΧΑΛΟΠΟΥΛΟΣ</t>
  </si>
  <si>
    <t>ΣΠΥΡΟΣ</t>
  </si>
  <si>
    <t>ΑΗ709611</t>
  </si>
  <si>
    <t>ΓΚΕΚΑ</t>
  </si>
  <si>
    <t>Λ708714</t>
  </si>
  <si>
    <t>735,9</t>
  </si>
  <si>
    <t>1323,9</t>
  </si>
  <si>
    <t>ΤΖΟΤΖΑΔΙΝΗ</t>
  </si>
  <si>
    <t>Χ948007</t>
  </si>
  <si>
    <t>1323,5</t>
  </si>
  <si>
    <t>ΔΕΛΗΠΑΛΑ</t>
  </si>
  <si>
    <t>ΑΖ691419</t>
  </si>
  <si>
    <t>ΣΑΝΙΔΑ</t>
  </si>
  <si>
    <t>ΑΕ874934</t>
  </si>
  <si>
    <t>ΓΚΑΝΤΑΚΑ</t>
  </si>
  <si>
    <t>ΑΖ176936</t>
  </si>
  <si>
    <t>ΟΥΒΑΛΙΔΟΥ</t>
  </si>
  <si>
    <t>ΝΙΝΑ</t>
  </si>
  <si>
    <t>ΑΑ279008</t>
  </si>
  <si>
    <t>1321,6</t>
  </si>
  <si>
    <t>ΓΙΟΒΑΝΤΖΑΚΗ</t>
  </si>
  <si>
    <t>ΑΖ376428</t>
  </si>
  <si>
    <t>1320,7</t>
  </si>
  <si>
    <t>ΜΑΡΓΑΡΙΤΑ</t>
  </si>
  <si>
    <t>ΑΑ248634</t>
  </si>
  <si>
    <t>1320,5</t>
  </si>
  <si>
    <t>ΠΕΤΣΑΒΑΣ</t>
  </si>
  <si>
    <t>ΑΜ278648</t>
  </si>
  <si>
    <t>ΝΤΑΦΟΠΟΥΛΟΥ</t>
  </si>
  <si>
    <t>ΑΕ311757</t>
  </si>
  <si>
    <t>ΚΟΝΤΑΛΗ</t>
  </si>
  <si>
    <t>ΑΦΡΟΔΙΤΗ ΕΙΡΗΝΗ</t>
  </si>
  <si>
    <t>Ρ280793</t>
  </si>
  <si>
    <t>ΜΟΝΙΑΚΗΣ</t>
  </si>
  <si>
    <t>AM474395</t>
  </si>
  <si>
    <t>1319,5</t>
  </si>
  <si>
    <t>ΜΕΛΑΝΙΑ</t>
  </si>
  <si>
    <t>ΑΗ181586</t>
  </si>
  <si>
    <t>ΛΙΑΚΟΣ</t>
  </si>
  <si>
    <t>ΓΙΩΡΓΗΣ</t>
  </si>
  <si>
    <t>ΑΚ714292</t>
  </si>
  <si>
    <t>ΚΟΛΚΑ</t>
  </si>
  <si>
    <t>Χ488948</t>
  </si>
  <si>
    <t>1318,6</t>
  </si>
  <si>
    <t>ΑΜ703496</t>
  </si>
  <si>
    <t>ΚΑΠΛΑΝΙΔΟΥ</t>
  </si>
  <si>
    <t>ΑΚ939406</t>
  </si>
  <si>
    <t>ΑΖ156959</t>
  </si>
  <si>
    <t>729,3</t>
  </si>
  <si>
    <t>1317,3</t>
  </si>
  <si>
    <t>ΠΑΝΤΑΖΟΓΛΟΥ</t>
  </si>
  <si>
    <t>ΑΚ308057</t>
  </si>
  <si>
    <t>ΜΠΟΥΜΠΑ</t>
  </si>
  <si>
    <t>ΑΕ858684</t>
  </si>
  <si>
    <t>ΠΑΓΓΟΥΡΑ</t>
  </si>
  <si>
    <t>ΑΖ830756</t>
  </si>
  <si>
    <t>765,6</t>
  </si>
  <si>
    <t>1316,6</t>
  </si>
  <si>
    <t>ΔΕΛΛΙΟΥ</t>
  </si>
  <si>
    <t>ΑΚ930732</t>
  </si>
  <si>
    <t>ΓΕΩΡΓΙΟΥ ΘΕΟΔΩΡΑΚΟΓΛΟΥ</t>
  </si>
  <si>
    <t>ΑΜΑΛΙΑ</t>
  </si>
  <si>
    <t>ΑΚ923728</t>
  </si>
  <si>
    <t>ΗΛΙΟΠΟΥΛΟΥ</t>
  </si>
  <si>
    <t>ΑΕ236923</t>
  </si>
  <si>
    <t>ΔΑΓΚΛΗ</t>
  </si>
  <si>
    <t>ΑΖ194709</t>
  </si>
  <si>
    <t>1314,5</t>
  </si>
  <si>
    <t>ΑΗ320390</t>
  </si>
  <si>
    <t>676,5</t>
  </si>
  <si>
    <t>ΠΑΠΑΒΛΑΧΟΥ</t>
  </si>
  <si>
    <t>ΑΕ641988</t>
  </si>
  <si>
    <t>ΚΟΥΖΙΩΚΑΣ</t>
  </si>
  <si>
    <t>ΑΙ315663</t>
  </si>
  <si>
    <t>ΚΑΓΚΑΡΛΗ</t>
  </si>
  <si>
    <t>Χ774787</t>
  </si>
  <si>
    <t>723,8</t>
  </si>
  <si>
    <t>1311,8</t>
  </si>
  <si>
    <t>ΑΝΤΩΝΑΚΗ</t>
  </si>
  <si>
    <t>ΑΗ792175</t>
  </si>
  <si>
    <t>1311,6</t>
  </si>
  <si>
    <t>ΣΙΣΜΑΝΙΔΟΥ</t>
  </si>
  <si>
    <t>Π959155</t>
  </si>
  <si>
    <t>ΔΟΥΚΑ</t>
  </si>
  <si>
    <t>Π172414</t>
  </si>
  <si>
    <t>1310,5</t>
  </si>
  <si>
    <t>ΚΑΡΑΣΑΒΒΙΔΟΥ</t>
  </si>
  <si>
    <t>Ξ815258</t>
  </si>
  <si>
    <t>1309,9</t>
  </si>
  <si>
    <t>ΝΑΛΜΠΑΝΤΗ</t>
  </si>
  <si>
    <t>Χ769407</t>
  </si>
  <si>
    <t>1308,5</t>
  </si>
  <si>
    <t>ΑΜ420214</t>
  </si>
  <si>
    <t>1307,5</t>
  </si>
  <si>
    <t>ΔΕΛΗΓΙΑΝΝΑΚΗ</t>
  </si>
  <si>
    <t>ΑΖ651267</t>
  </si>
  <si>
    <t>ΠΑΤΗ</t>
  </si>
  <si>
    <t>ΑΖ376865</t>
  </si>
  <si>
    <t>ΜΑΡΚΑΚΗ</t>
  </si>
  <si>
    <t>ΑΗ188770</t>
  </si>
  <si>
    <t>ΑΕ145473</t>
  </si>
  <si>
    <t>1304,4</t>
  </si>
  <si>
    <t>ΑΗ194009</t>
  </si>
  <si>
    <t>1304,1</t>
  </si>
  <si>
    <t>Φ175550</t>
  </si>
  <si>
    <t>ΚΑΛΟΚΑΙΡΗ</t>
  </si>
  <si>
    <t>ΑΚ388976</t>
  </si>
  <si>
    <t>1303,5</t>
  </si>
  <si>
    <t>ΤΑΦΡΑΛΗΣ</t>
  </si>
  <si>
    <t>ΜΕΛΙΣΑΡΓΟΣ</t>
  </si>
  <si>
    <t>ΑΚ815967</t>
  </si>
  <si>
    <t>ΜΩΡΑΙΤΗ</t>
  </si>
  <si>
    <t>ΑΜ287924</t>
  </si>
  <si>
    <t>1302,5</t>
  </si>
  <si>
    <t>ΚΡΙΚΗ</t>
  </si>
  <si>
    <t>ΑΒ108115</t>
  </si>
  <si>
    <t>1300,5</t>
  </si>
  <si>
    <t>ΜΠΑΛΑΣΟΥΔΗ</t>
  </si>
  <si>
    <t>Ρ361225</t>
  </si>
  <si>
    <t>ΜΠΛΙΟΥΜΗ</t>
  </si>
  <si>
    <t>ΑΙ865488</t>
  </si>
  <si>
    <t>ΠΙΠΕΡΟΠΟΥΛΟΥ</t>
  </si>
  <si>
    <t>ΑΕ353168</t>
  </si>
  <si>
    <t>ΓΟΥΣΙΟΥ</t>
  </si>
  <si>
    <t>ΑΒ682074</t>
  </si>
  <si>
    <t>ΓΚΙΝΟΥ</t>
  </si>
  <si>
    <t>ΒΑΓΓΕΛΗΣ</t>
  </si>
  <si>
    <t>ΑΗ207339</t>
  </si>
  <si>
    <t>ΤΖΙΜΑ</t>
  </si>
  <si>
    <t>ΑΑ381819</t>
  </si>
  <si>
    <t>ΚΑΤΗΡΤΖΙΔΟΥ</t>
  </si>
  <si>
    <t>ΑΖ895290</t>
  </si>
  <si>
    <t>ΠΟΤΣΙΟΥ</t>
  </si>
  <si>
    <t>ΙΩΑΝΝΑ-ΔΗΜΗΤΡΑ</t>
  </si>
  <si>
    <t>ΑΗ984710</t>
  </si>
  <si>
    <t>ΛΑΣΚΑΡΙΔΟΥ</t>
  </si>
  <si>
    <t>ΕΙΡΗΝΗ ΚΑΛΛΙΡΟΗ</t>
  </si>
  <si>
    <t>ΑΗ143337</t>
  </si>
  <si>
    <t>1298,5</t>
  </si>
  <si>
    <t>ΑΙ391121</t>
  </si>
  <si>
    <t>702-703-705-701-704</t>
  </si>
  <si>
    <t>ΤΣΙΩΡΗ</t>
  </si>
  <si>
    <t>ΑΙΜΙΛΙΑ</t>
  </si>
  <si>
    <t>ΑΜ683679</t>
  </si>
  <si>
    <t>ΚΙΟΥΜΟΥΡΤΖΙΔΟΥ</t>
  </si>
  <si>
    <t>Χ754141</t>
  </si>
  <si>
    <t>1297,5</t>
  </si>
  <si>
    <t xml:space="preserve">ΑΛΕΞΑΝΔΡΟΣ </t>
  </si>
  <si>
    <t>ΑΕ170265</t>
  </si>
  <si>
    <t>ΚΑΡΑΛΙΔΟΥ</t>
  </si>
  <si>
    <t>ΣΟΦΡΩΝ</t>
  </si>
  <si>
    <t>ΑΜ476581</t>
  </si>
  <si>
    <t>1296,5</t>
  </si>
  <si>
    <t>ΚΑΨΙΩΤΗ</t>
  </si>
  <si>
    <t>ΑΓΟΡΗ</t>
  </si>
  <si>
    <t>ΑΑ237465</t>
  </si>
  <si>
    <t>1296,4</t>
  </si>
  <si>
    <t>ΜΠΕΛΑ</t>
  </si>
  <si>
    <t>ΑΖ378978</t>
  </si>
  <si>
    <t>ΑΙ197612</t>
  </si>
  <si>
    <t>1295,5</t>
  </si>
  <si>
    <t>Πάππου</t>
  </si>
  <si>
    <t>Αθανασία</t>
  </si>
  <si>
    <t>Αγγελος</t>
  </si>
  <si>
    <t>ΑΒ354500</t>
  </si>
  <si>
    <t>1295,3</t>
  </si>
  <si>
    <t>ΤΣΑΓΚΑΚΗ</t>
  </si>
  <si>
    <t>ΑΕ385423</t>
  </si>
  <si>
    <t>ΧΑΣΑΠΟΠΟΥΛΟΣ</t>
  </si>
  <si>
    <t>ΑΕ709995</t>
  </si>
  <si>
    <t>ΜΠΟΤΣΟΓΛΟΥ</t>
  </si>
  <si>
    <t>ΑΚ262794</t>
  </si>
  <si>
    <t>ΚΟΥΚΟΥΤΣΙΛΗ</t>
  </si>
  <si>
    <t>ΑΜ706250</t>
  </si>
  <si>
    <t>1294,5</t>
  </si>
  <si>
    <t>ΑΖ647640</t>
  </si>
  <si>
    <t>1294,2</t>
  </si>
  <si>
    <t>ΓΟΥΣΗ</t>
  </si>
  <si>
    <t>ΑΗ778423</t>
  </si>
  <si>
    <t>1293,5</t>
  </si>
  <si>
    <t>ΧΑΙΡΟΠΟΥΛΟΥ</t>
  </si>
  <si>
    <t>ΑΝ391863</t>
  </si>
  <si>
    <t>1292,5</t>
  </si>
  <si>
    <t>ΜΠΟΤΟΥ</t>
  </si>
  <si>
    <t>ΑΚ375949</t>
  </si>
  <si>
    <t>ΓΚΟΥΣΔΟΒΑ</t>
  </si>
  <si>
    <t>Π137002</t>
  </si>
  <si>
    <t>1291,5</t>
  </si>
  <si>
    <t>ΑΖ176402</t>
  </si>
  <si>
    <t>1290,6</t>
  </si>
  <si>
    <t>Χ474701</t>
  </si>
  <si>
    <t>Χ727723</t>
  </si>
  <si>
    <t>ΜΠΟΖΑΝΗ</t>
  </si>
  <si>
    <t>ΑΖ149911</t>
  </si>
  <si>
    <t>ΔΑΜΙΑΝΙΔΗΣ</t>
  </si>
  <si>
    <t>ΑΚ294055</t>
  </si>
  <si>
    <t>669,9</t>
  </si>
  <si>
    <t>1287,9</t>
  </si>
  <si>
    <t>ΚΟΜΑΡΗ</t>
  </si>
  <si>
    <t>Σ477696</t>
  </si>
  <si>
    <t>1287,6</t>
  </si>
  <si>
    <t>ΝΤΑΟΥΣΑΝΗ</t>
  </si>
  <si>
    <t>ΑΝ260373</t>
  </si>
  <si>
    <t>1287,5</t>
  </si>
  <si>
    <t>ΠΑΣΤΟΥΡΜΑ</t>
  </si>
  <si>
    <t>ΑΗ336520</t>
  </si>
  <si>
    <t>ΜΕΡΤΗ</t>
  </si>
  <si>
    <t>ΑΙ064171</t>
  </si>
  <si>
    <t>1286,2</t>
  </si>
  <si>
    <t xml:space="preserve">ΠΑΠΑΝΑΓΙΩΤΟΥ </t>
  </si>
  <si>
    <t>ΑΔΑΜΑΝΤΙΑ ΣΤΑΥΡΙΑΝΗ</t>
  </si>
  <si>
    <t>ΑΒ033676</t>
  </si>
  <si>
    <t>ΛΑΜΠΡΑΚΗΣ</t>
  </si>
  <si>
    <t>ΑΗ460896</t>
  </si>
  <si>
    <t>1285,5</t>
  </si>
  <si>
    <t>ΑΔΑΜΟΓΛΟΥ</t>
  </si>
  <si>
    <t>Ρ764119</t>
  </si>
  <si>
    <t>ΑΜ272140</t>
  </si>
  <si>
    <t>ΓΚΑΝΑΣΟΥ</t>
  </si>
  <si>
    <t>ΑΖ949432</t>
  </si>
  <si>
    <t>691,9</t>
  </si>
  <si>
    <t>1282,9</t>
  </si>
  <si>
    <t>ΜΠΡΟΖΟΥ</t>
  </si>
  <si>
    <t>Ξ808205</t>
  </si>
  <si>
    <t>1282,7</t>
  </si>
  <si>
    <t>ΔΑΓΚΟΛΑ</t>
  </si>
  <si>
    <t>ΑΒ716108</t>
  </si>
  <si>
    <t>1282,4</t>
  </si>
  <si>
    <t>ΤΣΑΟΥΣΟΓΛΟΥ</t>
  </si>
  <si>
    <t>ΑΖ808521</t>
  </si>
  <si>
    <t>ΜΑΛΑΜΑΣ</t>
  </si>
  <si>
    <t>ΑΚ141384</t>
  </si>
  <si>
    <t>1280,5</t>
  </si>
  <si>
    <t>ΤΣΕΛΙΟΥ</t>
  </si>
  <si>
    <t>ΑΚ387411</t>
  </si>
  <si>
    <t>ΠΟΛΥΤΣΑΚΗ</t>
  </si>
  <si>
    <t>ΑΑ403819</t>
  </si>
  <si>
    <t>ΚΟΣΙΩΡΗ</t>
  </si>
  <si>
    <t>Χ861562</t>
  </si>
  <si>
    <t>ΔΕΤΣΙΡΑΠΗ</t>
  </si>
  <si>
    <t>ΑΙ187462</t>
  </si>
  <si>
    <t>1279,9</t>
  </si>
  <si>
    <t>ΠΟΥΡΝΑΡΚΑ</t>
  </si>
  <si>
    <t>ΑΗ387635</t>
  </si>
  <si>
    <t>1278,5</t>
  </si>
  <si>
    <t>ΑΙΒΑΖΕΛΗ</t>
  </si>
  <si>
    <t>Χ267587</t>
  </si>
  <si>
    <t>ΤΖΗΜΗΤΡΑ</t>
  </si>
  <si>
    <t xml:space="preserve">ΙΩΑΝΝΑ </t>
  </si>
  <si>
    <t>ΠΟΛΥΧΡΟΝΗΣ</t>
  </si>
  <si>
    <t>Τ812984</t>
  </si>
  <si>
    <t>1277,5</t>
  </si>
  <si>
    <t>ΜΑΝΑΖΗ</t>
  </si>
  <si>
    <t>ΑΖ149459</t>
  </si>
  <si>
    <t>794,2</t>
  </si>
  <si>
    <t>1277,2</t>
  </si>
  <si>
    <t>ΑΖ155376</t>
  </si>
  <si>
    <t>1276,3</t>
  </si>
  <si>
    <t>ΑΣΛΑΝΟΓΛΟΥ</t>
  </si>
  <si>
    <t>Ν728188</t>
  </si>
  <si>
    <t>ΣΠΥΡΙΔΟΥ</t>
  </si>
  <si>
    <t>ΑΕ400652</t>
  </si>
  <si>
    <t>ΣΦΥΡΗ</t>
  </si>
  <si>
    <t>ΑΝ180446</t>
  </si>
  <si>
    <t>1274,5</t>
  </si>
  <si>
    <t>ΑΚ885913</t>
  </si>
  <si>
    <t>ΣΟΛΟΜΩΝΙΔΗΣ</t>
  </si>
  <si>
    <t>Χ226983</t>
  </si>
  <si>
    <t>ΦΑΚΟΥ</t>
  </si>
  <si>
    <t>ΑΜ305483</t>
  </si>
  <si>
    <t>1273,7</t>
  </si>
  <si>
    <t>ΚΑΛΟΓΗΡΟΥ</t>
  </si>
  <si>
    <t>ΑΙ305643</t>
  </si>
  <si>
    <t>1273,5</t>
  </si>
  <si>
    <t>ΑΒ361079</t>
  </si>
  <si>
    <t>ΜΠΡΟΥΣΤΗ</t>
  </si>
  <si>
    <t>ΑΙ196563</t>
  </si>
  <si>
    <t>1272,5</t>
  </si>
  <si>
    <t>Χ487545</t>
  </si>
  <si>
    <t>ΑΖ847664</t>
  </si>
  <si>
    <t>ΚΟΥΣΛΗΣ</t>
  </si>
  <si>
    <t>Χ487370</t>
  </si>
  <si>
    <t>ΚΙΟΥΠΤΣΙΔΟΥ</t>
  </si>
  <si>
    <t>ΝΙΚΗΤΑΣ</t>
  </si>
  <si>
    <t>ΑΜ397381</t>
  </si>
  <si>
    <t>1270,6</t>
  </si>
  <si>
    <t>ΒΕΛΗΣΣΑΡΙΔΟΥ</t>
  </si>
  <si>
    <t>ΑΝΑΤΟΛΗ</t>
  </si>
  <si>
    <t>ΑΗ355578</t>
  </si>
  <si>
    <t>1270,5</t>
  </si>
  <si>
    <t>ΧΟΡΔΑΚΗΣ</t>
  </si>
  <si>
    <t>ΑΙ439998</t>
  </si>
  <si>
    <t>ΑΒ804613</t>
  </si>
  <si>
    <t>1269,5</t>
  </si>
  <si>
    <t>ΠΕΤΑΛΩΤΗ</t>
  </si>
  <si>
    <t>ΑΖ176619</t>
  </si>
  <si>
    <t>ΣΑΒΒΙΔΗΣ</t>
  </si>
  <si>
    <t>Φ177108</t>
  </si>
  <si>
    <t>ΑΡΝΑΚΗΣ</t>
  </si>
  <si>
    <t>ΑΙ705327</t>
  </si>
  <si>
    <t>ΔΕΛΗΣΤΟΓΙΑΝΝΑΚΗ</t>
  </si>
  <si>
    <t>ΡΟΔΟΠΗ</t>
  </si>
  <si>
    <t>ΑΙ737060</t>
  </si>
  <si>
    <t>ΑΕ479312</t>
  </si>
  <si>
    <t>1266,8</t>
  </si>
  <si>
    <t>ΚΑΝΑΚΗ</t>
  </si>
  <si>
    <t>Ρ826308</t>
  </si>
  <si>
    <t>1265,4</t>
  </si>
  <si>
    <t>ΣΤΑΜΑΤΙΑΔΗΣ</t>
  </si>
  <si>
    <t>ΑΖ305622</t>
  </si>
  <si>
    <t>ΛΙΑΠΤΣΗ</t>
  </si>
  <si>
    <t>ΑΑ411188</t>
  </si>
  <si>
    <t>ΜΠΙΖΑ</t>
  </si>
  <si>
    <t>Ξ912419</t>
  </si>
  <si>
    <t>1264,6</t>
  </si>
  <si>
    <t>Ρ802058</t>
  </si>
  <si>
    <t>1262,8</t>
  </si>
  <si>
    <t>ΜΙΣΙΡΛΗ</t>
  </si>
  <si>
    <t>ΑΓΝΗ</t>
  </si>
  <si>
    <t>ΑΒ859063</t>
  </si>
  <si>
    <t>1261,3</t>
  </si>
  <si>
    <t>ΓΩΓΟΥ</t>
  </si>
  <si>
    <t>Χ410555</t>
  </si>
  <si>
    <t>ΠΑΓΩΝΗ</t>
  </si>
  <si>
    <t>Ξ573158</t>
  </si>
  <si>
    <t>ΛΙΑΤΣΙΟΥ</t>
  </si>
  <si>
    <t>ΑΚ439820</t>
  </si>
  <si>
    <t>703-704-702</t>
  </si>
  <si>
    <t>ΖΑΧΑΡΑΚΗΣ</t>
  </si>
  <si>
    <t>ΜΕΛΕΤΙΟΣ</t>
  </si>
  <si>
    <t>ΑΚ670613</t>
  </si>
  <si>
    <t>ΛΟΓΟΘΕΤΗ</t>
  </si>
  <si>
    <t>ΑΚ316436</t>
  </si>
  <si>
    <t>1258,3</t>
  </si>
  <si>
    <t>ΠΥΡΙΖΙΔΟΥ</t>
  </si>
  <si>
    <t>ΑΚ263622</t>
  </si>
  <si>
    <t>1258,1</t>
  </si>
  <si>
    <t>ΟΜΦΑΛΙΔΟΥ</t>
  </si>
  <si>
    <t>ΑΖ399247</t>
  </si>
  <si>
    <t>ΤΑΧΜΑΤΖΙΔΟΥ</t>
  </si>
  <si>
    <t>ΑΗ185838</t>
  </si>
  <si>
    <t>1257,9</t>
  </si>
  <si>
    <t>ΑΕ164665</t>
  </si>
  <si>
    <t>1037,3</t>
  </si>
  <si>
    <t>1257,3</t>
  </si>
  <si>
    <t>ΤΟΛΙΟΠΟΥΛΟΥ</t>
  </si>
  <si>
    <t>ΑΚ308843</t>
  </si>
  <si>
    <t>1256,9</t>
  </si>
  <si>
    <t>ΚΟΛΟΚΟΥΡΗ</t>
  </si>
  <si>
    <t>AI716863</t>
  </si>
  <si>
    <t>1256,5</t>
  </si>
  <si>
    <t>ΓΑΥΡΟΣ</t>
  </si>
  <si>
    <t>ΑΙ353541</t>
  </si>
  <si>
    <t>ΚΥΖΙΡΙΔΟΥ</t>
  </si>
  <si>
    <t>ΜΑΓΔΑΛΗΝΗ-ΕΙΡΗΝΗ</t>
  </si>
  <si>
    <t>ΑΝ233822</t>
  </si>
  <si>
    <t>ΖΑΦΕΙΡΗ</t>
  </si>
  <si>
    <t>ΑΕ994117</t>
  </si>
  <si>
    <t>ΑΕ401576</t>
  </si>
  <si>
    <t>1254,7</t>
  </si>
  <si>
    <t>ΚΑΜΑΚΑΡΗ</t>
  </si>
  <si>
    <t>ΑΖ996886</t>
  </si>
  <si>
    <t>1254,5</t>
  </si>
  <si>
    <t>ΚΡΗΤΟΥ</t>
  </si>
  <si>
    <t>ΑΑ487114</t>
  </si>
  <si>
    <t>ΚΑΝΕΤΙΔΟΥ</t>
  </si>
  <si>
    <t>ΑΑ231286</t>
  </si>
  <si>
    <t>1253,5</t>
  </si>
  <si>
    <t>ΠΑΝΤΕΛΕΗΜΟΝ</t>
  </si>
  <si>
    <t>ΑΝ216159</t>
  </si>
  <si>
    <t>ΓΚΟΥΓΚΟΥΔΗ</t>
  </si>
  <si>
    <t>ΑΑ276850</t>
  </si>
  <si>
    <t>Π836294</t>
  </si>
  <si>
    <t>1252,6</t>
  </si>
  <si>
    <t>ΜΑΜΑΛΗ</t>
  </si>
  <si>
    <t>ΑΗ825936</t>
  </si>
  <si>
    <t>1252,5</t>
  </si>
  <si>
    <t>ΧΡΗΣΤΙΔΟΥ</t>
  </si>
  <si>
    <t>ΑΖ141501</t>
  </si>
  <si>
    <t>ΧΡΙΣΤΑΚΑΚΗ</t>
  </si>
  <si>
    <t>ΑΑ473027</t>
  </si>
  <si>
    <t>1070,3</t>
  </si>
  <si>
    <t>1250,3</t>
  </si>
  <si>
    <t>ΠΕΛΙΔΟΥ</t>
  </si>
  <si>
    <t>Ρ968325</t>
  </si>
  <si>
    <t>ΦΕΣΣΑΣ</t>
  </si>
  <si>
    <t>ΑΖ820391</t>
  </si>
  <si>
    <t>ΜΑΤΟΥΛΑ</t>
  </si>
  <si>
    <t>ΑΖ678325</t>
  </si>
  <si>
    <t>ΜΠΙΝΑΚΑ</t>
  </si>
  <si>
    <t>ΑΝ191470</t>
  </si>
  <si>
    <t>ΓΕΡΜΑΝΛΗ</t>
  </si>
  <si>
    <t>ΑΖ1677738</t>
  </si>
  <si>
    <t>ΜΑΣΤΟΡΑ</t>
  </si>
  <si>
    <t>ΑΗ678694</t>
  </si>
  <si>
    <t>ΚΑΣΑΜΠΑΛΗ</t>
  </si>
  <si>
    <t>ΑΜ890836</t>
  </si>
  <si>
    <t>ΣΚΙΑΔΑΣ</t>
  </si>
  <si>
    <t>ΑΚ354696</t>
  </si>
  <si>
    <t>1246,5</t>
  </si>
  <si>
    <t>ΑΜ034905</t>
  </si>
  <si>
    <t>KARAFOULIDOU</t>
  </si>
  <si>
    <t>AUDRONE</t>
  </si>
  <si>
    <t>ALFONSO</t>
  </si>
  <si>
    <t>ΧΑΤΖΗΧΡΗΣΤΟΥ</t>
  </si>
  <si>
    <t>Π818540</t>
  </si>
  <si>
    <t>ΣΑΜΟΥ</t>
  </si>
  <si>
    <t>Σ765355</t>
  </si>
  <si>
    <t>1244,5</t>
  </si>
  <si>
    <t>701-705-703</t>
  </si>
  <si>
    <t>ΚΟΤΙΔΟΥ</t>
  </si>
  <si>
    <t>ΑΙ726504</t>
  </si>
  <si>
    <t>ΖΥΓΑ</t>
  </si>
  <si>
    <t>ΑΕ355714</t>
  </si>
  <si>
    <t>ΣΤΡΙΜΠΑ</t>
  </si>
  <si>
    <t>ΒΑΊΤΣΑ</t>
  </si>
  <si>
    <t>ΑΚ915106</t>
  </si>
  <si>
    <t>ΚΑΝΤΕΡΑΚΗ</t>
  </si>
  <si>
    <t>Ξ909791</t>
  </si>
  <si>
    <t>1244,4</t>
  </si>
  <si>
    <t>702-703-704</t>
  </si>
  <si>
    <t>ΣΤΟΓΙΟΥΔΗ</t>
  </si>
  <si>
    <t>Χ225828</t>
  </si>
  <si>
    <t>ΑΖ938402</t>
  </si>
  <si>
    <t>1242,5</t>
  </si>
  <si>
    <t>ΠΡΑΣΙΝΟΥ</t>
  </si>
  <si>
    <t>Ξ889939</t>
  </si>
  <si>
    <t>953,7</t>
  </si>
  <si>
    <t>1240,7</t>
  </si>
  <si>
    <t>ΛΕΟΝΤΑΡΑΚΗ</t>
  </si>
  <si>
    <t>ΦΑΝΟΥΡΙΟΣ</t>
  </si>
  <si>
    <t>Φ253697</t>
  </si>
  <si>
    <t>ΜΟΣΧΟΥ</t>
  </si>
  <si>
    <t>ΑΑ300395</t>
  </si>
  <si>
    <t>1239,8</t>
  </si>
  <si>
    <t>703-705</t>
  </si>
  <si>
    <t>ΤΣΑΠΑ</t>
  </si>
  <si>
    <t>ΑΚ272615</t>
  </si>
  <si>
    <t>ΘΕΜΙΣΤΟΚΛΕΟΥΣ</t>
  </si>
  <si>
    <t>ΔΑΜΙΑΝΟΣ</t>
  </si>
  <si>
    <t>ΑΖ653206</t>
  </si>
  <si>
    <t>1238,3</t>
  </si>
  <si>
    <t>ΓΑΛΑΡΑ</t>
  </si>
  <si>
    <t>ΑΒ129316</t>
  </si>
  <si>
    <t>1238,2</t>
  </si>
  <si>
    <t>ΣΒΕΝΤΖΙΔΟΥ</t>
  </si>
  <si>
    <t>ΑΡΧΟΝΤΟΥΛΑ</t>
  </si>
  <si>
    <t>ΑΜ669982</t>
  </si>
  <si>
    <t>ΚΑΛΔΙΡΙΜΤΖΗ</t>
  </si>
  <si>
    <t>ΑΖ661397</t>
  </si>
  <si>
    <t>ΒΑΦΕΙΑΔΗ</t>
  </si>
  <si>
    <t>ΣΤΕΦΑΝΙ-ΙΦΙΓΕΝΕΙΑ</t>
  </si>
  <si>
    <t>Χ600920</t>
  </si>
  <si>
    <t>ΑΡΜΕΝΙΑΚΟΥ</t>
  </si>
  <si>
    <t>ΒΕΡΟΝΙΚΑ</t>
  </si>
  <si>
    <t>ΑΗ743896</t>
  </si>
  <si>
    <t>1237,8</t>
  </si>
  <si>
    <t>ΚΑΡΑΚΕΡΕΖΗΣ</t>
  </si>
  <si>
    <t>ΑΚ867300</t>
  </si>
  <si>
    <t>1237,5</t>
  </si>
  <si>
    <t>ΠΑΠΑΘΑΝΑΣΙΟΥ</t>
  </si>
  <si>
    <t>ΑΕ686980</t>
  </si>
  <si>
    <t>1237,2</t>
  </si>
  <si>
    <t>ΖΑΜΑΝΗ</t>
  </si>
  <si>
    <t>ΑΕ368448</t>
  </si>
  <si>
    <t>ΕΥΜΟΡΦΙΛΗ</t>
  </si>
  <si>
    <t>Π818715</t>
  </si>
  <si>
    <t>1235,2</t>
  </si>
  <si>
    <t xml:space="preserve">ΠΑΠΑΔΉΜΑ </t>
  </si>
  <si>
    <t xml:space="preserve">ΦΩΤΕΙΝΉ </t>
  </si>
  <si>
    <t xml:space="preserve">ΒΑΣΊΛΕΙΟΣ </t>
  </si>
  <si>
    <t>ΑΕ016589</t>
  </si>
  <si>
    <t>ΑΖ311836</t>
  </si>
  <si>
    <t>1234,6</t>
  </si>
  <si>
    <t>ΣΑΡΗΓΙΑΝΝΑΚΗ</t>
  </si>
  <si>
    <t>ΚΡΥΣΤΑΛΛΕΝΙΑ</t>
  </si>
  <si>
    <t>Τ224717</t>
  </si>
  <si>
    <t>ΚΤΙΣΤΟΠΟΥΛΟΣ</t>
  </si>
  <si>
    <t>Λ760259</t>
  </si>
  <si>
    <t>ΛΟΚΟΒΙΤΟΥ</t>
  </si>
  <si>
    <t>Ρ196128</t>
  </si>
  <si>
    <t>1233,9</t>
  </si>
  <si>
    <t>ΣΩΤΗΡΙΟΥ</t>
  </si>
  <si>
    <t>ΑΝ213823</t>
  </si>
  <si>
    <t>1233,8</t>
  </si>
  <si>
    <t>ΛΑΤΣΙΣΤΑΛΗ</t>
  </si>
  <si>
    <t>ΑΖ388013</t>
  </si>
  <si>
    <t>1233,5</t>
  </si>
  <si>
    <t>ΓΙΑΝΝΗΣ</t>
  </si>
  <si>
    <t>Φ047924</t>
  </si>
  <si>
    <t>644,6</t>
  </si>
  <si>
    <t>1232,6</t>
  </si>
  <si>
    <t>ΜΠΟΥΜΠΑΣ</t>
  </si>
  <si>
    <t>ΑΕ862115</t>
  </si>
  <si>
    <t>1232,5</t>
  </si>
  <si>
    <t>ΚΟΥΣΙΔΟΥ</t>
  </si>
  <si>
    <t>ΑΑ364777</t>
  </si>
  <si>
    <t>ΠΕΧΛΙΒΑΝΙΔΟΥ</t>
  </si>
  <si>
    <t>ΜΑΡΙΑ ΣΟΦΙΑ</t>
  </si>
  <si>
    <t>ΑΖ343658</t>
  </si>
  <si>
    <t>1230,5</t>
  </si>
  <si>
    <t>ΠΑΣΧΑΛΗ</t>
  </si>
  <si>
    <t>Χ375523</t>
  </si>
  <si>
    <t>ΓΚΟΥΒΑΣ</t>
  </si>
  <si>
    <t>ΑΜ118685</t>
  </si>
  <si>
    <t>ΠΟΡΙΤΣΑΝΟΥ</t>
  </si>
  <si>
    <t>Χ272099</t>
  </si>
  <si>
    <t>ΜΠΟΜΠΟΥ</t>
  </si>
  <si>
    <t>ΕΥΛΑΜΠΙΑ-ΜΑΡΙΑ</t>
  </si>
  <si>
    <t>ΑΕ163612</t>
  </si>
  <si>
    <t>ΛΙΠΑΡΤΕΛΙΑΝΙ</t>
  </si>
  <si>
    <t>ΜΕΓΚΥ</t>
  </si>
  <si>
    <t>ΟΛΕΓΚ</t>
  </si>
  <si>
    <t>ΑΗ187542</t>
  </si>
  <si>
    <t>1229,6</t>
  </si>
  <si>
    <t>ΣΟΦΑΚΗ</t>
  </si>
  <si>
    <t>Σ916859</t>
  </si>
  <si>
    <t>1229,4</t>
  </si>
  <si>
    <t>ΦΛΙΑΚΟΣ</t>
  </si>
  <si>
    <t>ΑΑ018634</t>
  </si>
  <si>
    <t>ΣΑΧΠΑΖΙΔΟΥ</t>
  </si>
  <si>
    <t>ΛΑΡΙΣΑ</t>
  </si>
  <si>
    <t>Φ174873</t>
  </si>
  <si>
    <t>898,7</t>
  </si>
  <si>
    <t>1227,7</t>
  </si>
  <si>
    <t>Χ593952</t>
  </si>
  <si>
    <t>1227,5</t>
  </si>
  <si>
    <t>ΛΕΛΕΝΤΖΗ</t>
  </si>
  <si>
    <t>ΧΡΥΣΟΒΑΛΑΝΤΑ</t>
  </si>
  <si>
    <t>ΑΒ835285</t>
  </si>
  <si>
    <t>639,1</t>
  </si>
  <si>
    <t>1227,1</t>
  </si>
  <si>
    <t xml:space="preserve">ΚΕΤΣΕΤΣΗ </t>
  </si>
  <si>
    <t>ΑΙ893370</t>
  </si>
  <si>
    <t>ΝΑΒΡΟΖΙΔΟΥ</t>
  </si>
  <si>
    <t>Χ736115</t>
  </si>
  <si>
    <t>1226,1</t>
  </si>
  <si>
    <t>ΜΠΡΙΤΣΑ</t>
  </si>
  <si>
    <t>ΑΗ747624</t>
  </si>
  <si>
    <t>ΡΕΣΤΕΜΗ</t>
  </si>
  <si>
    <t>ΑΗ669816</t>
  </si>
  <si>
    <t>1225,8</t>
  </si>
  <si>
    <t>ΘΑΝΟΠΟΥΛΟΥ</t>
  </si>
  <si>
    <t>ΠΗΝΕΛ</t>
  </si>
  <si>
    <t>ΠΕΡ</t>
  </si>
  <si>
    <t>Ν547885</t>
  </si>
  <si>
    <t>1225,6</t>
  </si>
  <si>
    <t>ΣΑΚΟΓΛΟΥ</t>
  </si>
  <si>
    <t>ΑΕ814544</t>
  </si>
  <si>
    <t>ΤΣΑΡΟΥΧΑ</t>
  </si>
  <si>
    <t>ΛΕΜΟΝΙΑ</t>
  </si>
  <si>
    <t>Χ476940</t>
  </si>
  <si>
    <t>1224,9</t>
  </si>
  <si>
    <t>ΖΑΧΑΡΩΦ</t>
  </si>
  <si>
    <t>ΑΗ204831</t>
  </si>
  <si>
    <t>1222,5</t>
  </si>
  <si>
    <t>ΑΗ315836</t>
  </si>
  <si>
    <t>ΜΠΟΝΙΑ</t>
  </si>
  <si>
    <t>ΕΛΛΗ</t>
  </si>
  <si>
    <t>ΑΗ385778</t>
  </si>
  <si>
    <t>1221,3</t>
  </si>
  <si>
    <t>ΜΠΑΤΣΙΛΑ</t>
  </si>
  <si>
    <t>Χ393524</t>
  </si>
  <si>
    <t>ΧΡΙΣΤΟΦΟΡΟΥ</t>
  </si>
  <si>
    <t>ΑΑ869730</t>
  </si>
  <si>
    <t>ΠΕΝΙΔΟΥ</t>
  </si>
  <si>
    <t>ΑΘΑΝΑΣIA</t>
  </si>
  <si>
    <t>ΑΚ327743</t>
  </si>
  <si>
    <t>1220,5</t>
  </si>
  <si>
    <t>ΚΑΡΥΤΣΙΩΤΗ</t>
  </si>
  <si>
    <t>ΚΑΝΕΛΛΑ</t>
  </si>
  <si>
    <t>Φ285651</t>
  </si>
  <si>
    <t>ΑΕ903222</t>
  </si>
  <si>
    <t>1220,4</t>
  </si>
  <si>
    <t>ΓΕΩΡΓΑΝΤΖΙΑ</t>
  </si>
  <si>
    <t>ΒΑΙΟΣ</t>
  </si>
  <si>
    <t>Χ911828</t>
  </si>
  <si>
    <t>ΚΑΠΕΤΑΝ ΚΏΣΤΑ</t>
  </si>
  <si>
    <t>Π899832</t>
  </si>
  <si>
    <t>1219,7</t>
  </si>
  <si>
    <t>ΜΠΛΕΤΣΟΥ</t>
  </si>
  <si>
    <t>ΑΙ510028</t>
  </si>
  <si>
    <t>1219,5</t>
  </si>
  <si>
    <t>ΙΩΣΗΦΙΔΗΣ</t>
  </si>
  <si>
    <t>Χ370386</t>
  </si>
  <si>
    <t>1219,2</t>
  </si>
  <si>
    <t>ΚΩΣΤΑΡΕΛΟΥ</t>
  </si>
  <si>
    <t>Φ265436</t>
  </si>
  <si>
    <t>1218,8</t>
  </si>
  <si>
    <t>ΚΑΡΑΠΑΛΗΣ</t>
  </si>
  <si>
    <t>ΑΜ655378</t>
  </si>
  <si>
    <t>1218,5</t>
  </si>
  <si>
    <t>ΓΚΕΣΟΠΟΥΛΟΥ</t>
  </si>
  <si>
    <t>ΑΗ302664</t>
  </si>
  <si>
    <t>1218,1</t>
  </si>
  <si>
    <t>ΧΑΤΖΗΧΑΡΙΣΤΟΥ</t>
  </si>
  <si>
    <t>ΑΚ881421</t>
  </si>
  <si>
    <t>ΠΡΑΠΑ</t>
  </si>
  <si>
    <t>ΑΚ540509</t>
  </si>
  <si>
    <t>1217,5</t>
  </si>
  <si>
    <t>ΑΜΠΕΛΑ</t>
  </si>
  <si>
    <t>Ξ808861</t>
  </si>
  <si>
    <t>1217,1</t>
  </si>
  <si>
    <t>Φ162639</t>
  </si>
  <si>
    <t>ΔΟΞΑΚΗ</t>
  </si>
  <si>
    <t>ΖΑΧΑΡΕΝΙΑ</t>
  </si>
  <si>
    <t>Χ870673</t>
  </si>
  <si>
    <t>ΤΟΥΛΙΚΑ</t>
  </si>
  <si>
    <t>ΑΖ155836</t>
  </si>
  <si>
    <t>ΤΣΙΑΠΑΡΑ</t>
  </si>
  <si>
    <t>ΣΤΑΜΑΤΙΑ ΕΙΡΗΝΗ</t>
  </si>
  <si>
    <t>ΑΚ859264</t>
  </si>
  <si>
    <t>ΚΟΥΤΣΟΥ</t>
  </si>
  <si>
    <t>ΑΖ306805</t>
  </si>
  <si>
    <t>ΣΕΚΕΡΛΗ</t>
  </si>
  <si>
    <t>ΑΗ189984</t>
  </si>
  <si>
    <t>1214,7</t>
  </si>
  <si>
    <t>ΜΑΝΤΑΡΟΓΛΟΥ</t>
  </si>
  <si>
    <t>ΑΖ183916</t>
  </si>
  <si>
    <t>ΜΙΚΡΟΥ</t>
  </si>
  <si>
    <t>ΑΜ440822</t>
  </si>
  <si>
    <t xml:space="preserve">Κατσαρου </t>
  </si>
  <si>
    <t xml:space="preserve">Μαρία </t>
  </si>
  <si>
    <t xml:space="preserve">Γεώργιος </t>
  </si>
  <si>
    <t>ΑΙ895291</t>
  </si>
  <si>
    <t>1213,5</t>
  </si>
  <si>
    <t>ΖΕΡΒΑΣ</t>
  </si>
  <si>
    <t>Χ642441</t>
  </si>
  <si>
    <t>1213,3</t>
  </si>
  <si>
    <t>ΣΤΟΙΔΟΥ</t>
  </si>
  <si>
    <t>ΑΖ661681</t>
  </si>
  <si>
    <t>ΑΜΠΑΤΖΙΔΟΥ</t>
  </si>
  <si>
    <t>ΕΙΡΗΝΗ ΚΥΡΙΑΚΗ</t>
  </si>
  <si>
    <t>Χ230596</t>
  </si>
  <si>
    <t>1212,5</t>
  </si>
  <si>
    <t>ΦΕΚΑ</t>
  </si>
  <si>
    <t>ΑΒ491166</t>
  </si>
  <si>
    <t>ΓΙΑΡΤΙΜΙΔΟΥ</t>
  </si>
  <si>
    <t>ΑΙ881282</t>
  </si>
  <si>
    <t>ΛΥΜΠΟΥΔΗ</t>
  </si>
  <si>
    <t>Φ184485</t>
  </si>
  <si>
    <t>ΔΟΜΟΚΤΣΗ</t>
  </si>
  <si>
    <t>ΚΡΑΝΙΑ</t>
  </si>
  <si>
    <t>ΑΖ682863</t>
  </si>
  <si>
    <t>ΜΟΔΙΤΣΗ</t>
  </si>
  <si>
    <t>ΑΕ175823</t>
  </si>
  <si>
    <t>ΖΕΒΛΑ</t>
  </si>
  <si>
    <t>Σ810590</t>
  </si>
  <si>
    <t>720,5</t>
  </si>
  <si>
    <t>1210,5</t>
  </si>
  <si>
    <t>ΑΠΑΖΟΓΛΟΥ</t>
  </si>
  <si>
    <t>ΑΕ130848</t>
  </si>
  <si>
    <t>632,5</t>
  </si>
  <si>
    <t>1208,5</t>
  </si>
  <si>
    <t>ΦΙΛΙΠΠΟΥ</t>
  </si>
  <si>
    <t>ΕΙΡΗΝΑΙΟΣ</t>
  </si>
  <si>
    <t>ΑΖ194334</t>
  </si>
  <si>
    <t>1207,5</t>
  </si>
  <si>
    <t>ΔΕΛΗΜΗΤΑ</t>
  </si>
  <si>
    <t>ΑΜ266465</t>
  </si>
  <si>
    <t>ΓΕΩΡΓΟΥΛΑ</t>
  </si>
  <si>
    <t>ΑΜ254180</t>
  </si>
  <si>
    <t>1206,5</t>
  </si>
  <si>
    <t>ΒΕΡΙΩΝΗ</t>
  </si>
  <si>
    <t>ΕΙΡΗΝΗ-ΣΤΥΛΙΑΝΗ</t>
  </si>
  <si>
    <t>ΑΝ084060</t>
  </si>
  <si>
    <t>Ρ257561</t>
  </si>
  <si>
    <t>ΡΙΖΟΣ</t>
  </si>
  <si>
    <t>ΑΙ159021</t>
  </si>
  <si>
    <t>1204,9</t>
  </si>
  <si>
    <t>ΧΑΤΖΗ</t>
  </si>
  <si>
    <t>Φ192989</t>
  </si>
  <si>
    <t>1204,5</t>
  </si>
  <si>
    <t>ΑΕ368950</t>
  </si>
  <si>
    <t>ΑΕ210041</t>
  </si>
  <si>
    <t>ΑΕ649834</t>
  </si>
  <si>
    <t>1204,3</t>
  </si>
  <si>
    <t>ΖΙΑΚΟΥ</t>
  </si>
  <si>
    <t>ΑΖ144436</t>
  </si>
  <si>
    <t>664,4</t>
  </si>
  <si>
    <t>1203,4</t>
  </si>
  <si>
    <t>ΦΑΝΤΙΔΟΥ</t>
  </si>
  <si>
    <t>ΑΜ676716</t>
  </si>
  <si>
    <t>1202,6</t>
  </si>
  <si>
    <t>ΤΣΕΡΕΛΗ</t>
  </si>
  <si>
    <t>ΑΗ664557</t>
  </si>
  <si>
    <t>1200,5</t>
  </si>
  <si>
    <t>ΑΛΕΣΙΝΑ</t>
  </si>
  <si>
    <t>Χ260018</t>
  </si>
  <si>
    <t>ΕΚΛΕΜΕΣ</t>
  </si>
  <si>
    <t>ΑΖ687362</t>
  </si>
  <si>
    <t>ΛΑΜΠΡΑΚΗ</t>
  </si>
  <si>
    <t>ΑΖ762195</t>
  </si>
  <si>
    <t>Χ765319</t>
  </si>
  <si>
    <t>610,5</t>
  </si>
  <si>
    <t>1198,5</t>
  </si>
  <si>
    <t>ΤΣΟΥΚΑΛΑ</t>
  </si>
  <si>
    <t>Χ743505</t>
  </si>
  <si>
    <t>1198,2</t>
  </si>
  <si>
    <t>ΤΣΙΦΤΣΗΣ</t>
  </si>
  <si>
    <t>ΑΜ678345</t>
  </si>
  <si>
    <t>ΒΑΓΕΝΑΣ</t>
  </si>
  <si>
    <t>Ρ987076</t>
  </si>
  <si>
    <t>Ρ737063</t>
  </si>
  <si>
    <t>1196,6</t>
  </si>
  <si>
    <t>ΛΩΡΙΔΑ</t>
  </si>
  <si>
    <t>Τ397076</t>
  </si>
  <si>
    <t>ΡΑΔΙΤΣΗ</t>
  </si>
  <si>
    <t>Χ747178</t>
  </si>
  <si>
    <t>1196,5</t>
  </si>
  <si>
    <t>ΦΑΚΙΝΟΥ</t>
  </si>
  <si>
    <t>ΑΚ720902</t>
  </si>
  <si>
    <t>1196,4</t>
  </si>
  <si>
    <t>ΓΚΙΡΙΝΤΛΙ</t>
  </si>
  <si>
    <t>ΜΑΧΕΡ-ΜΙΧΑΗΛ</t>
  </si>
  <si>
    <t>ΑΚ866896</t>
  </si>
  <si>
    <t>1195,5</t>
  </si>
  <si>
    <t>ΜΠΟΥΚΛΗ</t>
  </si>
  <si>
    <t>ΑΙ885954</t>
  </si>
  <si>
    <t>ΚΟΜΨΕΛΙΔΗΣ</t>
  </si>
  <si>
    <t>ΑΙ891918</t>
  </si>
  <si>
    <t>ΑΧΙΛΛΕΑΣ</t>
  </si>
  <si>
    <t>Χ268689</t>
  </si>
  <si>
    <t>ΠΕΣΙΟΥ</t>
  </si>
  <si>
    <t>ΑΖ645606</t>
  </si>
  <si>
    <t>1193,1</t>
  </si>
  <si>
    <t>ΛΕΒΕΝΤΑΚΟΥ</t>
  </si>
  <si>
    <t>Χ238462</t>
  </si>
  <si>
    <t>ΑΓΙΟΒΑΣΙΛΕΙΩΤΗΣ</t>
  </si>
  <si>
    <t>ΚΩΝΣΤ</t>
  </si>
  <si>
    <t>ΑΠΟ</t>
  </si>
  <si>
    <t>Χ246068</t>
  </si>
  <si>
    <t>ΣΙΑΤΡΑΒΑΝΗΣ</t>
  </si>
  <si>
    <t>Χ909149</t>
  </si>
  <si>
    <t>1192,5</t>
  </si>
  <si>
    <t>Ρ944548</t>
  </si>
  <si>
    <t>1191,5</t>
  </si>
  <si>
    <t>ΝΤΟΛΜΑΤΖΗ</t>
  </si>
  <si>
    <t>Π183192</t>
  </si>
  <si>
    <t>1189,5</t>
  </si>
  <si>
    <t>ΓΙΑΝΝΑΚΟΥΔΗ</t>
  </si>
  <si>
    <t>Χ470142</t>
  </si>
  <si>
    <t>ΠΕΤΑΛΑ</t>
  </si>
  <si>
    <t>Χ268125</t>
  </si>
  <si>
    <t>ΠΑΥΛΙΔΗ</t>
  </si>
  <si>
    <t>ΑΙ782497</t>
  </si>
  <si>
    <t>1188,5</t>
  </si>
  <si>
    <t>ΑΑ316601</t>
  </si>
  <si>
    <t>ΒΛΑΧΟΠΟΥΛΟΥ</t>
  </si>
  <si>
    <t>ΑΖ394297</t>
  </si>
  <si>
    <t>1187,9</t>
  </si>
  <si>
    <t>ΑΖ278353</t>
  </si>
  <si>
    <t>ΚΟΜΠΕΛΙΤΟΥ</t>
  </si>
  <si>
    <t>Χ971107</t>
  </si>
  <si>
    <t>1186,5</t>
  </si>
  <si>
    <t>ΝΕΣΤΩΡΟΥΔΗ</t>
  </si>
  <si>
    <t>ΑΗ869785</t>
  </si>
  <si>
    <t>ΛΑΖΑΡΟΥ</t>
  </si>
  <si>
    <t>ΑΜ253561</t>
  </si>
  <si>
    <t>818,4</t>
  </si>
  <si>
    <t>1186,4</t>
  </si>
  <si>
    <t>ΠΑΠΑΛΕΞΙΟΥ</t>
  </si>
  <si>
    <t>Ρ711352</t>
  </si>
  <si>
    <t>ΑΛΕΞΑΝΔΡΙΔΟΥ</t>
  </si>
  <si>
    <t>ΑΕ689501</t>
  </si>
  <si>
    <t>1185,5</t>
  </si>
  <si>
    <t>ΦΙΛΙΠΠΙΔΟΥ</t>
  </si>
  <si>
    <t>ΔΕΒΟΡΑ</t>
  </si>
  <si>
    <t>ΑΑ727311</t>
  </si>
  <si>
    <t>ΜΑΝΩΛΟΠΟΥΛΟΥ</t>
  </si>
  <si>
    <t>Χ806707</t>
  </si>
  <si>
    <t>1183,5</t>
  </si>
  <si>
    <t>ΚΙΑΚΟΥ</t>
  </si>
  <si>
    <t>ΑΖ396939</t>
  </si>
  <si>
    <t>1032,9</t>
  </si>
  <si>
    <t>1182,9</t>
  </si>
  <si>
    <t>ΑΖ666131</t>
  </si>
  <si>
    <t>1182,5</t>
  </si>
  <si>
    <t>ΚΟΛΛΑΡΑ</t>
  </si>
  <si>
    <t>ΑΝ265054</t>
  </si>
  <si>
    <t>1182,1</t>
  </si>
  <si>
    <t>ΜΑΡΓΙΟΛΑΚΗ</t>
  </si>
  <si>
    <t>Χ341321</t>
  </si>
  <si>
    <t>ΓΙΑΝΝΑΚΟΠΟΥΛΟΣ</t>
  </si>
  <si>
    <t>Τ410166</t>
  </si>
  <si>
    <t>ΣΤΕΡΓΙΟΥΛΗ</t>
  </si>
  <si>
    <t>ΕΥΑΝΘΙΑ</t>
  </si>
  <si>
    <t>ΑΖ785854</t>
  </si>
  <si>
    <t>ΠΛΙΩΤΑ</t>
  </si>
  <si>
    <t>ΚΥΠΑΡΙΣΣΩ</t>
  </si>
  <si>
    <t>Ρ779234</t>
  </si>
  <si>
    <t>1181,6</t>
  </si>
  <si>
    <t>ΝΤΙΡΑΙΚΟΠΟΥΛΟΥ</t>
  </si>
  <si>
    <t>ΑΗ193737</t>
  </si>
  <si>
    <t>1181,5</t>
  </si>
  <si>
    <t>ΔΟΥΛΟΥΔΗ</t>
  </si>
  <si>
    <t>ΕΥΑΓΓΕΛΙΑ-ΚΩΝΣΤΑΝΤΙΝΑ</t>
  </si>
  <si>
    <t>ΑΕ423994</t>
  </si>
  <si>
    <t>ΔΗΜΗΤΡΟΥΚΑ</t>
  </si>
  <si>
    <t>ΑΑ258964</t>
  </si>
  <si>
    <t>1180,5</t>
  </si>
  <si>
    <t>ΑΝΔΡΟΥΛΑΚΗ</t>
  </si>
  <si>
    <t>ΑΚ476470</t>
  </si>
  <si>
    <t>ΜΑΜΑΚΟΥΚΑΣ</t>
  </si>
  <si>
    <t>ΘΑΝΑΣΗΣ</t>
  </si>
  <si>
    <t>ΑΒ157270</t>
  </si>
  <si>
    <t>ΤΖΟΒΑΡΑ</t>
  </si>
  <si>
    <t>Φ173755</t>
  </si>
  <si>
    <t>ΚΑΡΑΜΠΕΤΗ</t>
  </si>
  <si>
    <t>ΔΑΦΝΗ</t>
  </si>
  <si>
    <t>ΑΒ714348</t>
  </si>
  <si>
    <t>ΧΑΤΖΟΠΟΥΛΟΥ</t>
  </si>
  <si>
    <t>ΧΡΗΣ</t>
  </si>
  <si>
    <t>ΑΚ933631</t>
  </si>
  <si>
    <t>ΓΚΟΥΝΗ</t>
  </si>
  <si>
    <t>Σ302352</t>
  </si>
  <si>
    <t>1179,5</t>
  </si>
  <si>
    <t>ΛΑΜΠΡΟΥ</t>
  </si>
  <si>
    <t>Χ230295</t>
  </si>
  <si>
    <t>ΚΑΒΑΚΑΣ</t>
  </si>
  <si>
    <t>ΑΒ147939</t>
  </si>
  <si>
    <t>1178,5</t>
  </si>
  <si>
    <t>ΠΑΠΑΝΤΟΥ</t>
  </si>
  <si>
    <t>ΑΒ688824</t>
  </si>
  <si>
    <t>ΜΠΑΛΑΜΩΤΗ</t>
  </si>
  <si>
    <t>ΑΕ324425</t>
  </si>
  <si>
    <t>Ρ005678</t>
  </si>
  <si>
    <t>1177,5</t>
  </si>
  <si>
    <t>ΚΑΛΟΣΤΥΠΗΣ</t>
  </si>
  <si>
    <t>Σ887177</t>
  </si>
  <si>
    <t>ΑΕ 172069</t>
  </si>
  <si>
    <t>ΜΥΡΟΒΑΛΗ</t>
  </si>
  <si>
    <t>ΑΗ860459</t>
  </si>
  <si>
    <t>ΑΒ111580</t>
  </si>
  <si>
    <t>1176,5</t>
  </si>
  <si>
    <t>ΚΟΚΟΒΙΑΔΟΥ</t>
  </si>
  <si>
    <t>ΑΚ426171</t>
  </si>
  <si>
    <t>ΚΩΤΙΝΑΣ</t>
  </si>
  <si>
    <t>ΑΑ391044</t>
  </si>
  <si>
    <t>588,5</t>
  </si>
  <si>
    <t>ΠΑΠΑΜΑΤΘΑΙΟΥ</t>
  </si>
  <si>
    <t>ΑΕ977006</t>
  </si>
  <si>
    <t>1176,3</t>
  </si>
  <si>
    <t>ΒΑΛΑΣΗΣ</t>
  </si>
  <si>
    <t>ΑΑ225496</t>
  </si>
  <si>
    <t>1175,5</t>
  </si>
  <si>
    <t>ΖΑΧΑΡΙΑΔΟΥ</t>
  </si>
  <si>
    <t>ΧΡΙΣΤΑΓΓΕΛΟΣ</t>
  </si>
  <si>
    <t>ΑΝ199345</t>
  </si>
  <si>
    <t>ΚΙΟΥΤΟΥΚΙΔΟΥ</t>
  </si>
  <si>
    <t>ΑΝΔΡΙΑΝΝΑ</t>
  </si>
  <si>
    <t>ΑΒ156686</t>
  </si>
  <si>
    <t>Χ945943</t>
  </si>
  <si>
    <t>ΜΠΟΥΡΑ</t>
  </si>
  <si>
    <t>ΑΗ177882</t>
  </si>
  <si>
    <t>ΠΑΤΕΙΝΑΚΗ</t>
  </si>
  <si>
    <t>ΑΗ383873</t>
  </si>
  <si>
    <t>1173,8</t>
  </si>
  <si>
    <t>ΠΑΛΗΟΓΙΑΝΝΗ</t>
  </si>
  <si>
    <t>Ρ215118</t>
  </si>
  <si>
    <t>ΚΑΛΥΒΑ</t>
  </si>
  <si>
    <t>ΑΙ188916</t>
  </si>
  <si>
    <t>ΔΕΛΗΜΠΑΣΗ</t>
  </si>
  <si>
    <t>ΑΑ487955</t>
  </si>
  <si>
    <t>ΛΕΠΤΟΚΑΡΙΔΟΥ</t>
  </si>
  <si>
    <t>ΕΥΛΑΜΠΙΑ</t>
  </si>
  <si>
    <t>Χ742836</t>
  </si>
  <si>
    <t>1170,5</t>
  </si>
  <si>
    <t>ΚΑΛΑΙΤΣΙΔΟΥ</t>
  </si>
  <si>
    <t>ΑΗ158022</t>
  </si>
  <si>
    <t>ΣΤΑΘΟΠΟΥΛΟΥ</t>
  </si>
  <si>
    <t>ΑΖ329490</t>
  </si>
  <si>
    <t>ΖΑΦΕΡΟΓΛΟΥ</t>
  </si>
  <si>
    <t>ΠΟΛΥΔΩΡΟΣ</t>
  </si>
  <si>
    <t>ΑΒ353013</t>
  </si>
  <si>
    <t>ΤΣΟΛΗ</t>
  </si>
  <si>
    <t>ΑΝ236793</t>
  </si>
  <si>
    <t>ΑΜΑΝΑΤΙΔΗΣ</t>
  </si>
  <si>
    <t>ΑΝ346546</t>
  </si>
  <si>
    <t>ΑΙ170194</t>
  </si>
  <si>
    <t>1169,8</t>
  </si>
  <si>
    <t>ΔΗΜΑ</t>
  </si>
  <si>
    <t>ΧΡΥΣΑΥΓΗ</t>
  </si>
  <si>
    <t>Χ460453</t>
  </si>
  <si>
    <t>1168,5</t>
  </si>
  <si>
    <t>ΕΥΘΥΜΙΑΔΟΥ</t>
  </si>
  <si>
    <t>ΑΗ397827</t>
  </si>
  <si>
    <t>1168,4</t>
  </si>
  <si>
    <t>ΠΑΓΟΥΡΤΖΗ</t>
  </si>
  <si>
    <t>ΑΚ943880</t>
  </si>
  <si>
    <t>1167,5</t>
  </si>
  <si>
    <t>ΜΑΛΑΜΟΥΔΗ</t>
  </si>
  <si>
    <t>ΑΙ176266</t>
  </si>
  <si>
    <t>ΤΣΟΥΓΚΑΡΑΚΗ</t>
  </si>
  <si>
    <t>Ν763171</t>
  </si>
  <si>
    <t>1166,1</t>
  </si>
  <si>
    <t>ΚΑΡΑΓΕΩΡΓΟΥ</t>
  </si>
  <si>
    <t>Σ352615</t>
  </si>
  <si>
    <t>ΚΑΝΤΑΡΑΣ</t>
  </si>
  <si>
    <t>ΑΕ196744</t>
  </si>
  <si>
    <t>ΑΙ177476</t>
  </si>
  <si>
    <t>ΑΕ342699</t>
  </si>
  <si>
    <t>1164,5</t>
  </si>
  <si>
    <t>ΠΑΡΤΣΑΛΙΔΟΥ</t>
  </si>
  <si>
    <t>ΑΕ838258</t>
  </si>
  <si>
    <t>ΧΑΝΤΖΗ</t>
  </si>
  <si>
    <t>ΝΙΚΗΣΤΡΑΤΟΣ</t>
  </si>
  <si>
    <t>ΑΑ391679</t>
  </si>
  <si>
    <t>ΧΑΤΖΙΚΟΥ</t>
  </si>
  <si>
    <t>ΑΗ897683</t>
  </si>
  <si>
    <t>1163,8</t>
  </si>
  <si>
    <t>ΤΖΑΛΑΜΟΥΡΑ</t>
  </si>
  <si>
    <t>ΑΒ125128</t>
  </si>
  <si>
    <t>ΕΡΝΙΚΙΟΙΛΗ</t>
  </si>
  <si>
    <t>ΑΗ343898</t>
  </si>
  <si>
    <t>ΟΝΟΥΦΡΙΟΣ</t>
  </si>
  <si>
    <t>ΑΗ347212</t>
  </si>
  <si>
    <t>1161,5</t>
  </si>
  <si>
    <t>ΧΑΝΤΖΟΠΛΑΚΗ</t>
  </si>
  <si>
    <t>ΑΜ121455</t>
  </si>
  <si>
    <t>ΜΠΑΚΟΓΙΑΝΝΗ</t>
  </si>
  <si>
    <t>ΑΒ078980</t>
  </si>
  <si>
    <t>ΑΑ288622</t>
  </si>
  <si>
    <t>1160,2</t>
  </si>
  <si>
    <t>ΑΚ929469</t>
  </si>
  <si>
    <t>1159,5</t>
  </si>
  <si>
    <t>ΞΟΥΛΟΓΗ</t>
  </si>
  <si>
    <t>ΑΚ930120</t>
  </si>
  <si>
    <t>1159,4</t>
  </si>
  <si>
    <t>ΓΛΥΝΟΣ</t>
  </si>
  <si>
    <t>ΑΕ755063</t>
  </si>
  <si>
    <t>1158,5</t>
  </si>
  <si>
    <t>ΑΥΓΕΡΟΥ</t>
  </si>
  <si>
    <t>ΑΜ667448</t>
  </si>
  <si>
    <t>ΜΠΑΛΗ</t>
  </si>
  <si>
    <t>Χ474051</t>
  </si>
  <si>
    <t>1157,5</t>
  </si>
  <si>
    <t>ΜΟΛΩΝΗ</t>
  </si>
  <si>
    <t>ΚΑΤΕΡΙΝΑ</t>
  </si>
  <si>
    <t>Χ681550</t>
  </si>
  <si>
    <t>ΜΠΟΥΜΠΟΥΛΗΣ</t>
  </si>
  <si>
    <t>Χ583316</t>
  </si>
  <si>
    <t>ΜΠΛΑΝΑΣ</t>
  </si>
  <si>
    <t>ΑΒ836539</t>
  </si>
  <si>
    <t>ΠΑΠΟΥΤΣΑΚΗ</t>
  </si>
  <si>
    <t>ΑΗ071352</t>
  </si>
  <si>
    <t>ΚΑΡΑΧΑΛΙΟΥ</t>
  </si>
  <si>
    <t>ΑΖ478957</t>
  </si>
  <si>
    <t>1155,5</t>
  </si>
  <si>
    <t>ΣΥΡΙΩΔΗ</t>
  </si>
  <si>
    <t>ΑΡΧΟΝΤΙΑ</t>
  </si>
  <si>
    <t>ΑΜ650874</t>
  </si>
  <si>
    <t>1154,3</t>
  </si>
  <si>
    <t>ΠΑΠΟΥΛΙΔΗΣ</t>
  </si>
  <si>
    <t>ΑΙ327311</t>
  </si>
  <si>
    <t>1153,5</t>
  </si>
  <si>
    <t>ΑΒ153466</t>
  </si>
  <si>
    <t>ΔΡΑΚΟΠΟΥΛΟΣ</t>
  </si>
  <si>
    <t>ΦΙΛΙΠΠΑΣ</t>
  </si>
  <si>
    <t>Χ794384</t>
  </si>
  <si>
    <t>ΧΟΥΡΟΥ</t>
  </si>
  <si>
    <t>ΑΗ683281</t>
  </si>
  <si>
    <t>1153,3</t>
  </si>
  <si>
    <t>ΑΒ679013</t>
  </si>
  <si>
    <t>ΑΣΒΕΣΤΑ</t>
  </si>
  <si>
    <t>ΑΜ694102</t>
  </si>
  <si>
    <t>1152,8</t>
  </si>
  <si>
    <t>ΜΠΟΝΑΣ</t>
  </si>
  <si>
    <t>ΑΜ897379</t>
  </si>
  <si>
    <t>1152,5</t>
  </si>
  <si>
    <t>Χ245643</t>
  </si>
  <si>
    <t>ΤΑΣΟΠΟΥΛΟΥ</t>
  </si>
  <si>
    <t>ΑΛΚΙΝΟΟΣ</t>
  </si>
  <si>
    <t>ΑΑ458856</t>
  </si>
  <si>
    <t>ΖΥΓΟΥΒΕΛΗ</t>
  </si>
  <si>
    <t>ΑΝΔΡΙΑΝΟΣ</t>
  </si>
  <si>
    <t>Π850401</t>
  </si>
  <si>
    <t>ΡΗΓΙΝΙΩΤΗ</t>
  </si>
  <si>
    <t>ΑΖ698513</t>
  </si>
  <si>
    <t>1151,5</t>
  </si>
  <si>
    <t>ΑΚΡΙΒΗ</t>
  </si>
  <si>
    <t>ΑΗ337718</t>
  </si>
  <si>
    <t>ΤΣΑΠΗ</t>
  </si>
  <si>
    <t>ΝΑΠΟΛΕΩΝ</t>
  </si>
  <si>
    <t>ΑΑ382490</t>
  </si>
  <si>
    <t>Χ376511</t>
  </si>
  <si>
    <t>1150,8</t>
  </si>
  <si>
    <t>ΓΙΝΟΠΟΥΛΟΥ</t>
  </si>
  <si>
    <t>Φ493450</t>
  </si>
  <si>
    <t>1150,5</t>
  </si>
  <si>
    <t>Χ220937</t>
  </si>
  <si>
    <t>ΚΑΡΑΜΗΤΡΟΥΣΗ</t>
  </si>
  <si>
    <t>ΑΜ715427</t>
  </si>
  <si>
    <t>ΧΛΙΑΡΑ</t>
  </si>
  <si>
    <t>ΑΖ140363</t>
  </si>
  <si>
    <t>1150,4</t>
  </si>
  <si>
    <t>ΜΠΙΒΟΛΑΡΗ</t>
  </si>
  <si>
    <t>ΜΠΕΝΙΤΑ</t>
  </si>
  <si>
    <t>ΝΙΚΟΛΑΙ</t>
  </si>
  <si>
    <t>ΑΗ399868</t>
  </si>
  <si>
    <t>1080,2</t>
  </si>
  <si>
    <t>1150,2</t>
  </si>
  <si>
    <t>ΑΖ199172</t>
  </si>
  <si>
    <t>ΚΩΣΤΑΠΑΠΠΑ</t>
  </si>
  <si>
    <t xml:space="preserve">ΙΖΑΜΠΕΛΑ-ΚΑΤΕΡΙΝΑ </t>
  </si>
  <si>
    <t>Χ290358</t>
  </si>
  <si>
    <t>1149,8</t>
  </si>
  <si>
    <t>Χ869199</t>
  </si>
  <si>
    <t>1149,5</t>
  </si>
  <si>
    <t>ΤΣΙΩΝΟΣ</t>
  </si>
  <si>
    <t>ΣΕΡΑΦΕΙΜ</t>
  </si>
  <si>
    <t>Σ890689</t>
  </si>
  <si>
    <t>ΜΠΑΝΟΥΣΗΣ</t>
  </si>
  <si>
    <t>ΑΑ975747</t>
  </si>
  <si>
    <t>1148,5</t>
  </si>
  <si>
    <t>ΖΗΝΑ</t>
  </si>
  <si>
    <t xml:space="preserve">ΝΙΚΟΛΕΤΑ </t>
  </si>
  <si>
    <t>ΧΡΙΣΤΟΦΟΡΟΣ</t>
  </si>
  <si>
    <t>ΑΒ350016</t>
  </si>
  <si>
    <t>1148,1</t>
  </si>
  <si>
    <t>ΜΗΤΑΚΟΥ</t>
  </si>
  <si>
    <t>ΑΗ282499</t>
  </si>
  <si>
    <t>ΑΡΓΥΡΟΥ</t>
  </si>
  <si>
    <t>ΑΗ335134</t>
  </si>
  <si>
    <t>ΑΡΑΜΠΑΤΖΗ</t>
  </si>
  <si>
    <t>ΑΒ122273</t>
  </si>
  <si>
    <t>ΝΙΤΣΙΟΠΟΥΛΟΥ</t>
  </si>
  <si>
    <t>ΑΝΔΡΟΜΑΧΗ</t>
  </si>
  <si>
    <t>Χ893287</t>
  </si>
  <si>
    <t>1147,5</t>
  </si>
  <si>
    <t>ΣΟΙΛΕΜΕΤΖΙΔΟΥ</t>
  </si>
  <si>
    <t>ΑΙ367310</t>
  </si>
  <si>
    <t>ΕΞΑΚΟΥΣΤΙΔΗΣ</t>
  </si>
  <si>
    <t>ΑΖ689602</t>
  </si>
  <si>
    <t>ΜΑΚΡΙΔΗΣ</t>
  </si>
  <si>
    <t>ΑΗ792210</t>
  </si>
  <si>
    <t>1146,9</t>
  </si>
  <si>
    <t>ΚΕΠΦΕΡ</t>
  </si>
  <si>
    <t>ΚΩΝ/ΝΟΣ</t>
  </si>
  <si>
    <t>ΜΩΡΙΣ</t>
  </si>
  <si>
    <t>ΑΖ290426</t>
  </si>
  <si>
    <t>ΠΑΝΑΝΟΥ</t>
  </si>
  <si>
    <t>ΑΒ116464</t>
  </si>
  <si>
    <t>1145,7</t>
  </si>
  <si>
    <t>ΑΓΙΑΝΝΙΔΟΥ</t>
  </si>
  <si>
    <t>ΑΝ187075</t>
  </si>
  <si>
    <t>1145,5</t>
  </si>
  <si>
    <t>ΤΣΙΑΝΟΥ</t>
  </si>
  <si>
    <t>ΜΑΡΙΑ ΜΠΟΥΜΠΟΥΛΙΝΑ</t>
  </si>
  <si>
    <t>ΑΙ890506</t>
  </si>
  <si>
    <t>ΠΕΠΕ</t>
  </si>
  <si>
    <t>ΑΖ913393</t>
  </si>
  <si>
    <t>ΧΑΤΖΗΔΕΛΗ</t>
  </si>
  <si>
    <t>ΑΖ673801</t>
  </si>
  <si>
    <t>ΝΤΙΡΟΓΙΑΝΝΗ</t>
  </si>
  <si>
    <t>ΑΗ126907</t>
  </si>
  <si>
    <t>1144,8</t>
  </si>
  <si>
    <t>ΤΣΙΟΥΠΛΙΑΚΑ</t>
  </si>
  <si>
    <t>ΑΑ429143</t>
  </si>
  <si>
    <t>1144,5</t>
  </si>
  <si>
    <t>ΣΚΟΥΛΑΡΙΚΟΣ</t>
  </si>
  <si>
    <t>ΑΗ721364</t>
  </si>
  <si>
    <t>ΖΑΦΕΙΡΗΣ</t>
  </si>
  <si>
    <t>Ρ991075</t>
  </si>
  <si>
    <t>ΑΕ874532</t>
  </si>
  <si>
    <t>ΑΘΑΝΑΣΙΟΥ</t>
  </si>
  <si>
    <t>Χ741135</t>
  </si>
  <si>
    <t>ΠΛΙΟΚΑ</t>
  </si>
  <si>
    <t>Τ876560</t>
  </si>
  <si>
    <t>1142,9</t>
  </si>
  <si>
    <t>KOMPA KOUSTOUDI</t>
  </si>
  <si>
    <t>ALEKSANDRA MARLENA</t>
  </si>
  <si>
    <t>ROMUALD</t>
  </si>
  <si>
    <t>ATJ014429</t>
  </si>
  <si>
    <t>ΔΑΓΚΛΗΣ</t>
  </si>
  <si>
    <t>ΑΝΤΩΝΗΣ</t>
  </si>
  <si>
    <t>ΑΒ692145</t>
  </si>
  <si>
    <t>1141,5</t>
  </si>
  <si>
    <t>ΚΟΥΙΤΩΡΟΥ</t>
  </si>
  <si>
    <t>ΒΑΛΕΡΙΑ ΤΡΙΣΕΥΓΕΝΗ</t>
  </si>
  <si>
    <t>ΜΙΧΑΛΗΣ</t>
  </si>
  <si>
    <t>ΑΒ628719</t>
  </si>
  <si>
    <t>1140,5</t>
  </si>
  <si>
    <t>ΣΙΜΟΥ</t>
  </si>
  <si>
    <t>ΕΡΑΤΩ</t>
  </si>
  <si>
    <t>ΑΒ697155</t>
  </si>
  <si>
    <t>ΑΚ320077</t>
  </si>
  <si>
    <t>ΣΙΑΡΔΟΣ</t>
  </si>
  <si>
    <t>ΑΙ157578</t>
  </si>
  <si>
    <t>1140,4</t>
  </si>
  <si>
    <t>ΚΟΡΤΕΣΗΣ</t>
  </si>
  <si>
    <t>Χ971249</t>
  </si>
  <si>
    <t>ΣΤΑΘΟΥΛΟΠΟΥΛΟΣ</t>
  </si>
  <si>
    <t>ΑΚ279327</t>
  </si>
  <si>
    <t>ΜΑΝΟΥ</t>
  </si>
  <si>
    <t>ΑΙ154558</t>
  </si>
  <si>
    <t>ΤΣΙΝΤΖΟΣ</t>
  </si>
  <si>
    <t>ΑΜ912451</t>
  </si>
  <si>
    <t>1139,5</t>
  </si>
  <si>
    <t>ΚΟΚΟΛΑΝΤΩΝΑΚΗ</t>
  </si>
  <si>
    <t>ΧΡΙΣΤΙΝΑ ΖΗΝΟΒΙΑ</t>
  </si>
  <si>
    <t>ΑΒ295217</t>
  </si>
  <si>
    <t>ΚΑΡΠΑΤΣΗΣ</t>
  </si>
  <si>
    <t>ΑΕ837442</t>
  </si>
  <si>
    <t>ΑΗ738595</t>
  </si>
  <si>
    <t>1139,3</t>
  </si>
  <si>
    <t>ΜΠΑΖΑΚΑ</t>
  </si>
  <si>
    <t>ΑΚ436796</t>
  </si>
  <si>
    <t>1139,2</t>
  </si>
  <si>
    <t>Χ417106</t>
  </si>
  <si>
    <t>ΣΜΑΡΟΥΛΑ</t>
  </si>
  <si>
    <t>Ξ906317</t>
  </si>
  <si>
    <t>1138,6</t>
  </si>
  <si>
    <t>ΤΡΑΙΚΟΥ</t>
  </si>
  <si>
    <t>ΑΖ803902</t>
  </si>
  <si>
    <t>1137,5</t>
  </si>
  <si>
    <t>ΣΓΟΥΡΟΠΟΥΛΟΥ</t>
  </si>
  <si>
    <t>ΑΝ202998</t>
  </si>
  <si>
    <t>ΚΑΡΑΜΠΑ</t>
  </si>
  <si>
    <t>ΑΕ278219</t>
  </si>
  <si>
    <t>ΒΑΣΣΑΛΟΥ</t>
  </si>
  <si>
    <t>ΑΚ467565</t>
  </si>
  <si>
    <t>1135,1</t>
  </si>
  <si>
    <t>ΚΑΤΣΑΝΙΔΟΥ</t>
  </si>
  <si>
    <t>ΙΣΑΑΚ</t>
  </si>
  <si>
    <t>ΑΖ676123</t>
  </si>
  <si>
    <t>1134,5</t>
  </si>
  <si>
    <t>ΜΑΥΡΙΔΟΥ</t>
  </si>
  <si>
    <t>ΑΗ803360</t>
  </si>
  <si>
    <t>ΚΟΥΛΟΥΡΗ</t>
  </si>
  <si>
    <t>ΤΑΡΣΗ</t>
  </si>
  <si>
    <t>Φ099666</t>
  </si>
  <si>
    <t>ΛΑΠΠΑ</t>
  </si>
  <si>
    <t>Χ770995</t>
  </si>
  <si>
    <t>ΦΩΤΟΥ</t>
  </si>
  <si>
    <t>ΑΙ704401</t>
  </si>
  <si>
    <t>1133,8</t>
  </si>
  <si>
    <t>ΑΜ916669</t>
  </si>
  <si>
    <t>1133,5</t>
  </si>
  <si>
    <t>ΜΑΝΔΙΤΣΙΟΥ</t>
  </si>
  <si>
    <t>ΑΜ677982</t>
  </si>
  <si>
    <t>1133,4</t>
  </si>
  <si>
    <t>ΣΟΛΩΜΟΥ</t>
  </si>
  <si>
    <t>ΣΟΛΩΝ</t>
  </si>
  <si>
    <t>Χ487299</t>
  </si>
  <si>
    <t>1132,6</t>
  </si>
  <si>
    <t>ΠΑΡΙΣΗ</t>
  </si>
  <si>
    <t>Φ182402</t>
  </si>
  <si>
    <t>1132,5</t>
  </si>
  <si>
    <t>ΔΙΑΜΑΝΤΙΔΟΥ</t>
  </si>
  <si>
    <t>Χ966909</t>
  </si>
  <si>
    <t>ΚΑΤΣΑΜΟΡΑ</t>
  </si>
  <si>
    <t>ΑΙ848778</t>
  </si>
  <si>
    <t>1131,5</t>
  </si>
  <si>
    <t>ΔΕΡΜΑΤΑ</t>
  </si>
  <si>
    <t>Χ642681</t>
  </si>
  <si>
    <t>ΚΑΡΑΚΟΥΣΗ</t>
  </si>
  <si>
    <t>ΑΑ284108</t>
  </si>
  <si>
    <t>ΛΙΤΟΣΕΛΙΤΗ</t>
  </si>
  <si>
    <t>ΑΙ977631</t>
  </si>
  <si>
    <t>ΕΛΕΥΘΕΡΙΑΔΟΥ</t>
  </si>
  <si>
    <t>ΕΛΕΩΝΟΡΑ</t>
  </si>
  <si>
    <t>ΑΜ908818</t>
  </si>
  <si>
    <t>1131,3</t>
  </si>
  <si>
    <t>ΑΡΒΑΝΙΤΙΔΗΣ</t>
  </si>
  <si>
    <t>ΑΒ700104</t>
  </si>
  <si>
    <t>1130,3</t>
  </si>
  <si>
    <t>ΚΟΥΤΣΑΝΙΤΗΣ</t>
  </si>
  <si>
    <t>ΑΒ224658</t>
  </si>
  <si>
    <t>ΚΩΝΣΤΑΝΤΙΝΟΥ</t>
  </si>
  <si>
    <t>ΑΕ215183</t>
  </si>
  <si>
    <t>ΤΖΟΥΒΑΛΕΚΑ</t>
  </si>
  <si>
    <t>AH768922</t>
  </si>
  <si>
    <t>1128,5</t>
  </si>
  <si>
    <t>Π497997</t>
  </si>
  <si>
    <t>ΜΟΥΣΜΟΥΛΑΣ</t>
  </si>
  <si>
    <t>ΑΙ713846</t>
  </si>
  <si>
    <t>ΠΕΠΕΣ</t>
  </si>
  <si>
    <t>Τ313102</t>
  </si>
  <si>
    <t>ΑΝ255692</t>
  </si>
  <si>
    <t>1127,6</t>
  </si>
  <si>
    <t>ΑΒ432433</t>
  </si>
  <si>
    <t>ΑΖ172797</t>
  </si>
  <si>
    <t>ΑΖ331145</t>
  </si>
  <si>
    <t>ΚΡΥΣΤΑΛΛΙΔΟΥ</t>
  </si>
  <si>
    <t>ΚΛΕΟΠΑΤΡΑ</t>
  </si>
  <si>
    <t>ΧΟΥΡΜΟΥΖΙΟΣ</t>
  </si>
  <si>
    <t>ΑΚ937208</t>
  </si>
  <si>
    <t>1126,9</t>
  </si>
  <si>
    <t>ΚΟΣΜΙΔΗΣ</t>
  </si>
  <si>
    <t>ΑΕ331325</t>
  </si>
  <si>
    <t>996,6</t>
  </si>
  <si>
    <t>1126,6</t>
  </si>
  <si>
    <t>ΓΡΕΒΕΝΙΤΟΥ</t>
  </si>
  <si>
    <t>ΑΖ817955</t>
  </si>
  <si>
    <t>1126,5</t>
  </si>
  <si>
    <t>ΜΥΛΩΝΑΣ</t>
  </si>
  <si>
    <t>Χ392271</t>
  </si>
  <si>
    <t>654,5</t>
  </si>
  <si>
    <t>ΠΡΟΚΟΠΟΥ</t>
  </si>
  <si>
    <t>ΑΜ329438</t>
  </si>
  <si>
    <t>ΧΑΤΖΗΒΛΑΣΙΟΣ</t>
  </si>
  <si>
    <t>Χ754708</t>
  </si>
  <si>
    <t>ΚΟΤΖΑΟΓΛΟΥ</t>
  </si>
  <si>
    <t>ΑΒ895410</t>
  </si>
  <si>
    <t>ΡΑΦΑΕΛΑ</t>
  </si>
  <si>
    <t>ΑΖ884990</t>
  </si>
  <si>
    <t>ΚΑΡΑΠΑΝΑΓΙΩΤΙΔΟΥ</t>
  </si>
  <si>
    <t>ΑΖ806503</t>
  </si>
  <si>
    <t>1124,5</t>
  </si>
  <si>
    <t>ΜΠΟΛΛΑ</t>
  </si>
  <si>
    <t>ΑΜ406971</t>
  </si>
  <si>
    <t>ΔΑΡΕΙΑ</t>
  </si>
  <si>
    <t>ΠΑΛΛΗ</t>
  </si>
  <si>
    <t>ΑΚ893367</t>
  </si>
  <si>
    <t>ΜΠΑΝΤΟΓΙΑ</t>
  </si>
  <si>
    <t>Χ254192</t>
  </si>
  <si>
    <t>1123,5</t>
  </si>
  <si>
    <t>ΑΒ080163</t>
  </si>
  <si>
    <t>ΖΑΡΡΑ</t>
  </si>
  <si>
    <t>ΑΕ278250</t>
  </si>
  <si>
    <t>1119,4</t>
  </si>
  <si>
    <t>ΤΣΙΩΡΑ</t>
  </si>
  <si>
    <t>ΑΒ854766</t>
  </si>
  <si>
    <t>ΣΥΓΓΕΛΑΚΗ</t>
  </si>
  <si>
    <t>ΕΥΑ</t>
  </si>
  <si>
    <t>ΜΑΝΟΥΣΟΣ</t>
  </si>
  <si>
    <t>ΑΙ467800</t>
  </si>
  <si>
    <t>1118,5</t>
  </si>
  <si>
    <t>ΠΟΛΥΖΟΥ</t>
  </si>
  <si>
    <t>ΛΕΛΟΥΔΑ</t>
  </si>
  <si>
    <t>ΑΙ300104</t>
  </si>
  <si>
    <t>ΜΑΚΗ</t>
  </si>
  <si>
    <t>ΑΚ377033</t>
  </si>
  <si>
    <t>1116,5</t>
  </si>
  <si>
    <t>ΣΚΟΥΡΑΣ</t>
  </si>
  <si>
    <t>ΑΑ025844</t>
  </si>
  <si>
    <t>ΣΙΓΚΟΥΔΗΣ</t>
  </si>
  <si>
    <t>ΑΖ312955</t>
  </si>
  <si>
    <t>1115,2</t>
  </si>
  <si>
    <t>ΧΑΙΔΕΥΤΟΥ</t>
  </si>
  <si>
    <t>ΑΜ296568</t>
  </si>
  <si>
    <t>ΤΣΑΤΣΟΥΛΗ</t>
  </si>
  <si>
    <t>ΡΩΜΥΛΟΣ</t>
  </si>
  <si>
    <t>ΑΙ196037</t>
  </si>
  <si>
    <t>ΣΑΒΒΟΓΛΟΥ</t>
  </si>
  <si>
    <t>ΑΜ431130</t>
  </si>
  <si>
    <t>ΑΒ360020</t>
  </si>
  <si>
    <t>ΚΟΥΤΕΛΙΔΑ</t>
  </si>
  <si>
    <t>ΑΘΑΝΑΣΙΑ-ΑΝΝΗ</t>
  </si>
  <si>
    <t>ΑΕ319334</t>
  </si>
  <si>
    <t>ΤΣΑΛΙΚΗ</t>
  </si>
  <si>
    <t>ΑΡΙΣΤΟΣ</t>
  </si>
  <si>
    <t>ΑΒ360309</t>
  </si>
  <si>
    <t>ΧΡΙΣΤΙΑΝΑ</t>
  </si>
  <si>
    <t>ΑΒ126489</t>
  </si>
  <si>
    <t>ΚΟΚΑΛΙΑΡΗ</t>
  </si>
  <si>
    <t>ΑΗ787339</t>
  </si>
  <si>
    <t>ΜΕΡΤΖΕΜΕΚΗ</t>
  </si>
  <si>
    <t>Σ337477</t>
  </si>
  <si>
    <t>1114,6</t>
  </si>
  <si>
    <t>ΤΥΡΟΒΟΥΖΗ</t>
  </si>
  <si>
    <t>ΑΕ373548</t>
  </si>
  <si>
    <t>ΚΑΖΕΠΟΠΟΥΛΟΥ</t>
  </si>
  <si>
    <t>ΑΜ688485</t>
  </si>
  <si>
    <t>1113,7</t>
  </si>
  <si>
    <t>ΜΠΟΥΜΠΟΥΡΑ</t>
  </si>
  <si>
    <t>ΑΒ879582</t>
  </si>
  <si>
    <t>1113,5</t>
  </si>
  <si>
    <t>Σ976076</t>
  </si>
  <si>
    <t>ΚΟΝΤΟΡΙΝΗ</t>
  </si>
  <si>
    <t>ΑΙΚΑΤΕΡΙΝΗ - ΝΑΤΑΛΙΑ</t>
  </si>
  <si>
    <t>ΑΗ675423</t>
  </si>
  <si>
    <t>ΤΡΙΚΚΑΛΙΩΤΗΣ</t>
  </si>
  <si>
    <t>ΑΗ382182</t>
  </si>
  <si>
    <t>ΠΑΛΑΜΗΔΑ</t>
  </si>
  <si>
    <t>ΔΗΜΗΤΡΑ ΕΥΑΓΓΕΛΙΑ</t>
  </si>
  <si>
    <t>ΑΙ317948</t>
  </si>
  <si>
    <t>ΖΑΧΟΣ</t>
  </si>
  <si>
    <t>ΑΜ663014</t>
  </si>
  <si>
    <t>ΘΕΟΦΥΛΑΚΤΟΣ</t>
  </si>
  <si>
    <t>Χ950570</t>
  </si>
  <si>
    <t>ΜΠΙΛΜΠΙΛΗ</t>
  </si>
  <si>
    <t>ΑΑ266861</t>
  </si>
  <si>
    <t>ΣΑΡΧΟΣΙΔΟΥ</t>
  </si>
  <si>
    <t>ΑΗ371819</t>
  </si>
  <si>
    <t>ΖΑΧΟΥ</t>
  </si>
  <si>
    <t>ΑΝ189892</t>
  </si>
  <si>
    <t>1111,5</t>
  </si>
  <si>
    <t>ΚΑΠΑΣΑΚΑΛΙΔΗ</t>
  </si>
  <si>
    <t>ΝΕΛΗ</t>
  </si>
  <si>
    <t>ΑΜ708962</t>
  </si>
  <si>
    <t>ΓΕΡΟΠΑΝΟΥ</t>
  </si>
  <si>
    <t>ΒΑΛΕΝΤΙΝΑ</t>
  </si>
  <si>
    <t>ΑΚ273240</t>
  </si>
  <si>
    <t>ΚΙΟΥΡΚΤΣΙΔΟΥ</t>
  </si>
  <si>
    <t>Ρ454561</t>
  </si>
  <si>
    <t>1110,5</t>
  </si>
  <si>
    <t>ΠΑΛΙΟΥΔΑΚΗ</t>
  </si>
  <si>
    <t>ΑΖ0385</t>
  </si>
  <si>
    <t>ΠΡΙΤΣΚΑ</t>
  </si>
  <si>
    <t>ΑΒ115346</t>
  </si>
  <si>
    <t>ΣΚΕΥΑ</t>
  </si>
  <si>
    <t>Π112035</t>
  </si>
  <si>
    <t>1110,2</t>
  </si>
  <si>
    <t>ΜΑΚΡΗ</t>
  </si>
  <si>
    <t>ΕΥΘΑΛΕΙΑ</t>
  </si>
  <si>
    <t>ΑΡΙΣΤΟΔΗΜΟΣ</t>
  </si>
  <si>
    <t>ΑΜ432645</t>
  </si>
  <si>
    <t>1109,9</t>
  </si>
  <si>
    <t>ΣΑΦΕΤΗΣ</t>
  </si>
  <si>
    <t>ΑΚ866243</t>
  </si>
  <si>
    <t>1109,6</t>
  </si>
  <si>
    <t>ΓΕΡΜΑΝΗΣ</t>
  </si>
  <si>
    <t>ΑΕ793623</t>
  </si>
  <si>
    <t>ΤΖΙΜΟΥΛΑ</t>
  </si>
  <si>
    <t>ΑΜ705296</t>
  </si>
  <si>
    <t>1109,5</t>
  </si>
  <si>
    <t>ΜΠΑΣΜΑΛΕΡΗ</t>
  </si>
  <si>
    <t>ΠΑΥΛΙΝΑ ΡΑΦΑΗΛΙΑ</t>
  </si>
  <si>
    <t>ΑΑ275015</t>
  </si>
  <si>
    <t>ΛΙΑΚΟΠΟΥΛΟΣ</t>
  </si>
  <si>
    <t>ΑΖ588421</t>
  </si>
  <si>
    <t>ΠΑΠΑΠΕΣΙΟΥ</t>
  </si>
  <si>
    <t>ΑΕ698465</t>
  </si>
  <si>
    <t>Κεχαγιάς</t>
  </si>
  <si>
    <t>Μιχαήλ</t>
  </si>
  <si>
    <t>ιωάννης</t>
  </si>
  <si>
    <t>Χ406842</t>
  </si>
  <si>
    <t>ΒΑΓΙΑ</t>
  </si>
  <si>
    <t>ΑΝ267251</t>
  </si>
  <si>
    <t>1107,5</t>
  </si>
  <si>
    <t>ΒΟΓΔΟΠΟΥΛΟΥ</t>
  </si>
  <si>
    <t>ΑΒ860832</t>
  </si>
  <si>
    <t>ΜΑΝΩΛΑ</t>
  </si>
  <si>
    <t>ΑΚ296954</t>
  </si>
  <si>
    <t>1106,5</t>
  </si>
  <si>
    <t>ΑΖ305059</t>
  </si>
  <si>
    <t>ΖΟΡΜΠΑ</t>
  </si>
  <si>
    <t>ΧΑΡΙΣΙΟΣ</t>
  </si>
  <si>
    <t>Σ440190</t>
  </si>
  <si>
    <t>ΓΕΩΡΓΑΚΟΠΟΥΛΟΥ</t>
  </si>
  <si>
    <t>ΑΕ494418</t>
  </si>
  <si>
    <t>Γούναρη</t>
  </si>
  <si>
    <t>XΡΥΣΟΥΛΑ</t>
  </si>
  <si>
    <t>Φ179073</t>
  </si>
  <si>
    <t>ΚΤΕΝΑ</t>
  </si>
  <si>
    <t>ΑΒ154994</t>
  </si>
  <si>
    <t>ΜΙΣΟΚΕΦΑΛΟΥ</t>
  </si>
  <si>
    <t>ΑΚ560599</t>
  </si>
  <si>
    <t>Τ173525</t>
  </si>
  <si>
    <t>ΚΑΙΚΑΤΖΑΝΗ</t>
  </si>
  <si>
    <t>ΑΙ743260</t>
  </si>
  <si>
    <t>788,7</t>
  </si>
  <si>
    <t>1103,7</t>
  </si>
  <si>
    <t>ΑΗ920387</t>
  </si>
  <si>
    <t>ΨΩΜΙΑΔΟΥ</t>
  </si>
  <si>
    <t>ΑΖ322463</t>
  </si>
  <si>
    <t>1102,5</t>
  </si>
  <si>
    <t>ΤΑΡΑΖΑΣ</t>
  </si>
  <si>
    <t>ΑΖ668687</t>
  </si>
  <si>
    <t>ΓΙΑΧΑΛΗ</t>
  </si>
  <si>
    <t>ΑΑ316987</t>
  </si>
  <si>
    <t>1101,5</t>
  </si>
  <si>
    <t>ΑΧΡΑΖΟΓΛΟΥ</t>
  </si>
  <si>
    <t>ΑΕ891097</t>
  </si>
  <si>
    <t>443,3</t>
  </si>
  <si>
    <t>1101,3</t>
  </si>
  <si>
    <t>ΚΑΡΑΜΠΑΤΑΚΗ</t>
  </si>
  <si>
    <t>Χ845270</t>
  </si>
  <si>
    <t>ΜΕΣΤΡΟΣ</t>
  </si>
  <si>
    <t>Χ418196</t>
  </si>
  <si>
    <t>ΚΟΤΡΕΤΣΟΥ</t>
  </si>
  <si>
    <t>ΑΜ746816</t>
  </si>
  <si>
    <t>ΜΗΛΟΓΛΟΥ</t>
  </si>
  <si>
    <t>Π423497</t>
  </si>
  <si>
    <t>1100,7</t>
  </si>
  <si>
    <t>ΚΩΝΣΤΑΝΤΙΝΙΑ-ΠΑΝΑΓΙΩΤΑ</t>
  </si>
  <si>
    <t>Φ333190</t>
  </si>
  <si>
    <t>ΘΕΟΔΩΡΙΔΟΥ</t>
  </si>
  <si>
    <t>Σ818175</t>
  </si>
  <si>
    <t>Χ844454</t>
  </si>
  <si>
    <t>ΡΕΣΣΟΥ</t>
  </si>
  <si>
    <t>Χ258726</t>
  </si>
  <si>
    <t>1099,7</t>
  </si>
  <si>
    <t>ΜΟΔΕ</t>
  </si>
  <si>
    <t>Χ804238</t>
  </si>
  <si>
    <t>1099,5</t>
  </si>
  <si>
    <t>ΛΑΖΑΡΙΔΗΣ</t>
  </si>
  <si>
    <t>ΑΜ927679</t>
  </si>
  <si>
    <t>ΜΗΛΟΥΣΗ</t>
  </si>
  <si>
    <t>Χ474795</t>
  </si>
  <si>
    <t>1099,2</t>
  </si>
  <si>
    <t>ΜΑΝΟΥΣΙΔΑΚΗ</t>
  </si>
  <si>
    <t>Χ347979</t>
  </si>
  <si>
    <t>ΚΑΤΕΡΗ</t>
  </si>
  <si>
    <t>Χ958705</t>
  </si>
  <si>
    <t>Φ442161</t>
  </si>
  <si>
    <t>1097,6</t>
  </si>
  <si>
    <t>ΘΕΟΔΩΡΟΠΟΥΛΟΥ</t>
  </si>
  <si>
    <t>ΑΙ282150</t>
  </si>
  <si>
    <t>1097,5</t>
  </si>
  <si>
    <t>ΓΚΑΤΖΙΟΥΡΑ</t>
  </si>
  <si>
    <t>ΑΖ589517</t>
  </si>
  <si>
    <t>ΧΡΗΣΤΟΥ</t>
  </si>
  <si>
    <t>Π851289</t>
  </si>
  <si>
    <t>ΤΑΣΙΟΥΛΑ</t>
  </si>
  <si>
    <t>Χ867624</t>
  </si>
  <si>
    <t>ΚΟΣΑΤΖΗ</t>
  </si>
  <si>
    <t>ΜΑΡΙΛΕΝΑ</t>
  </si>
  <si>
    <t>ΑΑ281803</t>
  </si>
  <si>
    <t>ΔΑΔΑΝΑ</t>
  </si>
  <si>
    <t>ΑΖ698535</t>
  </si>
  <si>
    <t>ΧΡΥΣΟΣΤΟΜΙΔΟΥ</t>
  </si>
  <si>
    <t>ΑΑ263720</t>
  </si>
  <si>
    <t>ΤΣΙΚΟΓΙΑ</t>
  </si>
  <si>
    <t>ΑΖ154728</t>
  </si>
  <si>
    <t>1096,5</t>
  </si>
  <si>
    <t>ΚΡΟΥΣΟΒΑΛΗ</t>
  </si>
  <si>
    <t>ΑΗ399666</t>
  </si>
  <si>
    <t>1065,9</t>
  </si>
  <si>
    <t>1095,9</t>
  </si>
  <si>
    <t>ΚΑΡΑΓΚΙΟΖΟΠΟΥΛΟΥ</t>
  </si>
  <si>
    <t>ΑΚ255104</t>
  </si>
  <si>
    <t>1095,5</t>
  </si>
  <si>
    <t>ΘΥΜΙΟΠΟΥΛΟΥ</t>
  </si>
  <si>
    <t>ΑΜ708687</t>
  </si>
  <si>
    <t>ΓΑΛΑΧΟΥΣΙΔΟΥ</t>
  </si>
  <si>
    <t>ΑΕ194801</t>
  </si>
  <si>
    <t>ΑΖ694163</t>
  </si>
  <si>
    <t>ΑΠΟΣΤΟΛΟΥ</t>
  </si>
  <si>
    <t>ΑΜ819527</t>
  </si>
  <si>
    <t>ΠΑΠΑΓΑΒΡΙΗΛ</t>
  </si>
  <si>
    <t>ΑΖ675168</t>
  </si>
  <si>
    <t>ΑΓΓΕΛΗΣ</t>
  </si>
  <si>
    <t>ΑΜ112087</t>
  </si>
  <si>
    <t>ΡΟΔΙΑ</t>
  </si>
  <si>
    <t>ΑΕ331354</t>
  </si>
  <si>
    <t>1093,8</t>
  </si>
  <si>
    <t>ΚΥΡΙΛΛΙΔΟΥ</t>
  </si>
  <si>
    <t>Χ255545</t>
  </si>
  <si>
    <t>ΠΑΤΜΑΝΙΔΟΥ</t>
  </si>
  <si>
    <t>Χ970565</t>
  </si>
  <si>
    <t>ΑΒ980224</t>
  </si>
  <si>
    <t>1092,5</t>
  </si>
  <si>
    <t>ΠΑΝΟΥ</t>
  </si>
  <si>
    <t>ΑΕ698422</t>
  </si>
  <si>
    <t>ΜΑΡΑΝΗ</t>
  </si>
  <si>
    <t>Χ739594</t>
  </si>
  <si>
    <t>Ρ246164</t>
  </si>
  <si>
    <t>ΑΗ374013</t>
  </si>
  <si>
    <t>ΧΛΩΡΟΤΥΡΗΣ</t>
  </si>
  <si>
    <t>ΑΒ118692</t>
  </si>
  <si>
    <t>1091,5</t>
  </si>
  <si>
    <t>ΑΗ858215</t>
  </si>
  <si>
    <t>ΛΑΙΝΑΣ</t>
  </si>
  <si>
    <t>ΑΚ353055</t>
  </si>
  <si>
    <t>ΚΑΡΥΩΤΟΥ</t>
  </si>
  <si>
    <t>ΑΕ398234</t>
  </si>
  <si>
    <t>ΤΟΚΑΤΛΙΔΟΥ</t>
  </si>
  <si>
    <t>Φ273407</t>
  </si>
  <si>
    <t>ΛΥΡΑ</t>
  </si>
  <si>
    <t>ΑΗ264732</t>
  </si>
  <si>
    <t>1090,7</t>
  </si>
  <si>
    <t>ΖΗΣΑΚΗ</t>
  </si>
  <si>
    <t>ΕΥΑΝΘΟΥΛΑ</t>
  </si>
  <si>
    <t>Ρ221269</t>
  </si>
  <si>
    <t>1090,1</t>
  </si>
  <si>
    <t>ΑΜ711171</t>
  </si>
  <si>
    <t>ΜΠΟΥΡΟΥΝΗ</t>
  </si>
  <si>
    <t>ΑΗ183727</t>
  </si>
  <si>
    <t>ΑΗ738658</t>
  </si>
  <si>
    <t>1089,5</t>
  </si>
  <si>
    <t>ΚΟΥΤΣΟΣΙΜΟΣ</t>
  </si>
  <si>
    <t>Ξ637193</t>
  </si>
  <si>
    <t>ΚΑΡΑΚΙΚΕ</t>
  </si>
  <si>
    <t>Ρ988857</t>
  </si>
  <si>
    <t>1089,3</t>
  </si>
  <si>
    <t>ΣΑΡΑΤΣΙΔΟΥ</t>
  </si>
  <si>
    <t>Ξ661758</t>
  </si>
  <si>
    <t>ΒΟΥΖΙΑΝΑ</t>
  </si>
  <si>
    <t>ΑΕ125506</t>
  </si>
  <si>
    <t>ΤΣΙΚΡΙΚΑ</t>
  </si>
  <si>
    <t>Χ714010</t>
  </si>
  <si>
    <t>ΤΣΑΒΔΑΡΙΔΟΥ</t>
  </si>
  <si>
    <t>ΡΑΧΗΛΑ</t>
  </si>
  <si>
    <t>ΑΑ251788</t>
  </si>
  <si>
    <t>ΜΙΧΑΛΟΓΙΑΝΝΑΚΗ</t>
  </si>
  <si>
    <t>ΒΑΣΩ</t>
  </si>
  <si>
    <t>Σ569624</t>
  </si>
  <si>
    <t>1088,3</t>
  </si>
  <si>
    <t>ΔΑΝΑΗ</t>
  </si>
  <si>
    <t>ΑΚ327363</t>
  </si>
  <si>
    <t>ΔΑΒΛΙΑΚΟΥ</t>
  </si>
  <si>
    <t>ΠΑΡΑΣΧΟΣ</t>
  </si>
  <si>
    <t>ΑΑ439175</t>
  </si>
  <si>
    <t>1087,5</t>
  </si>
  <si>
    <t>ΤΣΕΝΕΚΙΔΟΥ</t>
  </si>
  <si>
    <t>ΑΗ397588</t>
  </si>
  <si>
    <t>ΑΝΑΣΤΟΥ</t>
  </si>
  <si>
    <t>ΑΕ951235</t>
  </si>
  <si>
    <t>ΑΝΤΩΝΙΑΔΗΣ</t>
  </si>
  <si>
    <t>ΜΥΡΩΝ</t>
  </si>
  <si>
    <t>ΑΜ658786</t>
  </si>
  <si>
    <t>ΠΑΡΜΑΤΑ</t>
  </si>
  <si>
    <t>ΣΑΡΑΝΤΟΥΛΑ</t>
  </si>
  <si>
    <t>ΑΖ810346</t>
  </si>
  <si>
    <t>ΧΑΤΖΗΓΑΛΗΝΗΣ</t>
  </si>
  <si>
    <t>Π787228</t>
  </si>
  <si>
    <t>905,3</t>
  </si>
  <si>
    <t>1085,3</t>
  </si>
  <si>
    <t>Ζ678679</t>
  </si>
  <si>
    <t>Ρ730499</t>
  </si>
  <si>
    <t>Χ222794</t>
  </si>
  <si>
    <t>ΠΛΑΤΟΓΙΑΝΝΗ</t>
  </si>
  <si>
    <t>ΑΖ854277</t>
  </si>
  <si>
    <t>1084,2</t>
  </si>
  <si>
    <t>ΑΖ454304</t>
  </si>
  <si>
    <t>ΣΠΑΝΟΘΥΜΝΙΟΥ</t>
  </si>
  <si>
    <t>ΖΗΝΩΝ</t>
  </si>
  <si>
    <t>ΑΑ363301</t>
  </si>
  <si>
    <t>ΜΗΤΟΝΙΔΟΥ</t>
  </si>
  <si>
    <t>ΑΝ224200</t>
  </si>
  <si>
    <t>ΑΗ697853</t>
  </si>
  <si>
    <t>ΨΕΜΜΑΣ</t>
  </si>
  <si>
    <t>ΑΒ149480</t>
  </si>
  <si>
    <t>1083,1</t>
  </si>
  <si>
    <t>ΑΕ803868</t>
  </si>
  <si>
    <t>ΤΣΙΛΙΠΗΡΑ</t>
  </si>
  <si>
    <t>ΑΚ934571</t>
  </si>
  <si>
    <t>1082,9</t>
  </si>
  <si>
    <t>ΚΑΤΣΙΟΥ</t>
  </si>
  <si>
    <t>ΔΩΡΟΘΕΑ</t>
  </si>
  <si>
    <t>ΑΙ185061</t>
  </si>
  <si>
    <t>ΚΑΡΑΝΙΚΟΛΑ</t>
  </si>
  <si>
    <t>ΒΑΣΙΛΑΚΗΣ</t>
  </si>
  <si>
    <t>ΑΒ154776</t>
  </si>
  <si>
    <t>ΑΖ478100</t>
  </si>
  <si>
    <t>ΜΑΧΑΙΡΑ</t>
  </si>
  <si>
    <t>ΑΚ291186</t>
  </si>
  <si>
    <t>ΑΗ475979</t>
  </si>
  <si>
    <t>1081,5</t>
  </si>
  <si>
    <t>ΔΑΜΙΑΝΟΥ</t>
  </si>
  <si>
    <t>Φ208021</t>
  </si>
  <si>
    <t>Τ469054</t>
  </si>
  <si>
    <t>ΜΑΡΓΑΡΙΤΗ</t>
  </si>
  <si>
    <t>ΑΜ929490</t>
  </si>
  <si>
    <t>1080,5</t>
  </si>
  <si>
    <t>ΤΑΓΚΑ</t>
  </si>
  <si>
    <t>Ρ952518</t>
  </si>
  <si>
    <t>ΘΕΟΔΩΡΑΚΙΔΟΥ</t>
  </si>
  <si>
    <t>ΑΗ414756</t>
  </si>
  <si>
    <t>ΧΡΟΝΗ</t>
  </si>
  <si>
    <t>ΑΖ668521</t>
  </si>
  <si>
    <t>Τ200714</t>
  </si>
  <si>
    <t>ΠΟΝΤΙΚΑ</t>
  </si>
  <si>
    <t>ΑΗ699407</t>
  </si>
  <si>
    <t>1079,5</t>
  </si>
  <si>
    <t>ΔΑΒΙΤΗΣ</t>
  </si>
  <si>
    <t>ΑΝ389548</t>
  </si>
  <si>
    <t>829,4</t>
  </si>
  <si>
    <t>1079,4</t>
  </si>
  <si>
    <t>ΞΕΝΟΥ</t>
  </si>
  <si>
    <t>ΑΗ721751</t>
  </si>
  <si>
    <t>694,1</t>
  </si>
  <si>
    <t>ΤΟΣΟΥΝΙΔΗ</t>
  </si>
  <si>
    <t>ΓΚΑΓΙΑΝΕ</t>
  </si>
  <si>
    <t>ΑΡΟΥΤΙΟΥΝ</t>
  </si>
  <si>
    <t>Χ731141</t>
  </si>
  <si>
    <t>ΠΡΟΙΚΑΚΗ</t>
  </si>
  <si>
    <t>ΑΖ421662</t>
  </si>
  <si>
    <t>ΜΙΧΑΗΛΙΔΗΣ</t>
  </si>
  <si>
    <t>ΔΗΜΗΤΡΙΟΣ-ΔΗΜΟΣΘΕΝΗΣ</t>
  </si>
  <si>
    <t>ΑΜ681299</t>
  </si>
  <si>
    <t>1078,5</t>
  </si>
  <si>
    <t>ΑΣΗΜΑΚΟΠΟΥΛΟΥ</t>
  </si>
  <si>
    <t xml:space="preserve">ΑΙΚΑΤΕΡΙΝΗ </t>
  </si>
  <si>
    <t>Χ295473</t>
  </si>
  <si>
    <t>ΣΚΟΡΔΑ</t>
  </si>
  <si>
    <t>Χ271850</t>
  </si>
  <si>
    <t>ΜΙΝΟΠΟΥΛΟΣ</t>
  </si>
  <si>
    <t>ΜΙΝΩΣ ΝΙΚΟΛΑΟΣ</t>
  </si>
  <si>
    <t>ΑΗ414565</t>
  </si>
  <si>
    <t>1077,5</t>
  </si>
  <si>
    <t>ΤΖΑΝΕΤΟΣ</t>
  </si>
  <si>
    <t>Τ410286</t>
  </si>
  <si>
    <t>Χ734686</t>
  </si>
  <si>
    <t>ΑΙ065352</t>
  </si>
  <si>
    <t>ΣΤΡΑΤΙΔΟΥ</t>
  </si>
  <si>
    <t>Φ184856</t>
  </si>
  <si>
    <t>ΙΩΑΚΕΙΜΙΔΟΥ</t>
  </si>
  <si>
    <t>ΑΕ660788</t>
  </si>
  <si>
    <t>Χ891746</t>
  </si>
  <si>
    <t>ΣΙΑΚΑΜΠΕΝΗ</t>
  </si>
  <si>
    <t>ΦΡΕΙΔΕΡΙΚΗ</t>
  </si>
  <si>
    <t>ΑΝ247543</t>
  </si>
  <si>
    <t>ΚΑΖΑΝΤΖΙΔΗΣ</t>
  </si>
  <si>
    <t>Ρ824049</t>
  </si>
  <si>
    <t>ΑΑ421858</t>
  </si>
  <si>
    <t>ΝΤΑΛΑΝΗ</t>
  </si>
  <si>
    <t>ΠΕΤΡΟ</t>
  </si>
  <si>
    <t>ΑΜ705772</t>
  </si>
  <si>
    <t>ΜΙΧΑΛΟΥΔΗ</t>
  </si>
  <si>
    <t>Ρ208863</t>
  </si>
  <si>
    <t>1073,5</t>
  </si>
  <si>
    <t>ΜΑΡΔΑΚΗ</t>
  </si>
  <si>
    <t>ΑΚ251284</t>
  </si>
  <si>
    <t>828,3</t>
  </si>
  <si>
    <t>1073,3</t>
  </si>
  <si>
    <t>ΠΑΠΑΔΑΜΟΥ</t>
  </si>
  <si>
    <t>Χ878098</t>
  </si>
  <si>
    <t>ΑΖ641885</t>
  </si>
  <si>
    <t>ΑΖ802642</t>
  </si>
  <si>
    <t>ΓΙΑΝΝΟΥΛΗ</t>
  </si>
  <si>
    <t>ΑΗ245312</t>
  </si>
  <si>
    <t>ΒΡΑΝΙΑ</t>
  </si>
  <si>
    <t>ΑΜ918707</t>
  </si>
  <si>
    <t>ΤΣΑΚΙΡΗ</t>
  </si>
  <si>
    <t>ΑΗ895328</t>
  </si>
  <si>
    <t>1070,5</t>
  </si>
  <si>
    <t>ΠΑΠΠΟΥ</t>
  </si>
  <si>
    <t>ΑΜ277622</t>
  </si>
  <si>
    <t>ΣΤΑΜΠΟΛΟΓΛΟΥ</t>
  </si>
  <si>
    <t>ΜΕΤΑΞΕΝΙΑ</t>
  </si>
  <si>
    <t>ΑΗ873248</t>
  </si>
  <si>
    <t>ΤΣΙΡΟΓΙΑΝΝΗ</t>
  </si>
  <si>
    <t>ΑΜ389245</t>
  </si>
  <si>
    <t>1069,9</t>
  </si>
  <si>
    <t>Ρ951502</t>
  </si>
  <si>
    <t>ΑΜΒΡΟΣΙΑΔΟΥ</t>
  </si>
  <si>
    <t>ΑΚ991630</t>
  </si>
  <si>
    <t>ΓΙΟΥΣΜΑΣ</t>
  </si>
  <si>
    <t>ΑΗ659130</t>
  </si>
  <si>
    <t>1068,5</t>
  </si>
  <si>
    <t>ΑΖ798170</t>
  </si>
  <si>
    <t>643,5</t>
  </si>
  <si>
    <t>ΟΣΙΠΙΔΗ</t>
  </si>
  <si>
    <t>ΑΒ639563</t>
  </si>
  <si>
    <t>1068,3</t>
  </si>
  <si>
    <t>ΦΑΝΑΡΑΣ</t>
  </si>
  <si>
    <t>Χ345342</t>
  </si>
  <si>
    <t>ΑΚ929772</t>
  </si>
  <si>
    <t>1067,5</t>
  </si>
  <si>
    <t>ΓΟΥΙΒΕΡΤ</t>
  </si>
  <si>
    <t>ΠΑΝΑΓΙΩΤΑ-ΑΣΗΜΙΝΑ</t>
  </si>
  <si>
    <t>ΑΒ769200</t>
  </si>
  <si>
    <t>1067,4</t>
  </si>
  <si>
    <t>ΚΑΡΑΜΗΤΡΟΥ</t>
  </si>
  <si>
    <t>ΝΙΟΒΗ</t>
  </si>
  <si>
    <t>ΑΚ930673</t>
  </si>
  <si>
    <t>1066,5</t>
  </si>
  <si>
    <t>ΓΙΑΝΝΑΚΟΥ</t>
  </si>
  <si>
    <t>ΑΒ983642</t>
  </si>
  <si>
    <t>ΒΗΚΑ</t>
  </si>
  <si>
    <t>ΑΒ369333</t>
  </si>
  <si>
    <t>ΠΟΥΛΙΚΙΔΟΥ</t>
  </si>
  <si>
    <t>ΑΗ858382</t>
  </si>
  <si>
    <t>ΤΣΙΦΤΣΟΠΟΥΛΟΥ</t>
  </si>
  <si>
    <t>Χ887146</t>
  </si>
  <si>
    <t>ΚΑΜΠΕΡΙΔΗΣ</t>
  </si>
  <si>
    <t>ΑΗ198343</t>
  </si>
  <si>
    <t>1064,7</t>
  </si>
  <si>
    <t>ΓΕΩΡΓΟΥΔΗ</t>
  </si>
  <si>
    <t>ΑΕ326677</t>
  </si>
  <si>
    <t>1064,2</t>
  </si>
  <si>
    <t>ΤΡΙΜΗΣ</t>
  </si>
  <si>
    <t>ΑΜ765994</t>
  </si>
  <si>
    <t>ΧΑΤΖΗΑΣΛΑΝΙΔΟΥ</t>
  </si>
  <si>
    <t>ΑΜ651753</t>
  </si>
  <si>
    <t>1063,5</t>
  </si>
  <si>
    <t>ΤΡΙΑΔΑ</t>
  </si>
  <si>
    <t>ΑΚ289620</t>
  </si>
  <si>
    <t>ΑΙ870859</t>
  </si>
  <si>
    <t>ΑΥΤΖΑΛΑΝΙΔΟΥ</t>
  </si>
  <si>
    <t>ΑΑ225581</t>
  </si>
  <si>
    <t>1062,5</t>
  </si>
  <si>
    <t>ΚΑΤΣΙΚΑΡΗ</t>
  </si>
  <si>
    <t>ΑΖ183792</t>
  </si>
  <si>
    <t>ΠΑΝΑΓΙΩΤΟΠΟΥΛΟΣ</t>
  </si>
  <si>
    <t>ΑΒ353083</t>
  </si>
  <si>
    <t>ΑΙ292676</t>
  </si>
  <si>
    <t>ΜΑΣΛΑΡΗΣ</t>
  </si>
  <si>
    <t>ΤΡΑΙΑΝΟΣ</t>
  </si>
  <si>
    <t>ΑΒ870019</t>
  </si>
  <si>
    <t>ΜΠΑΚΙΡΤΖΗ</t>
  </si>
  <si>
    <t>ΑΖ642512</t>
  </si>
  <si>
    <t>1060,3</t>
  </si>
  <si>
    <t>ΚΟΥΚΟΥΡΔΗ</t>
  </si>
  <si>
    <t>ΑΗ663560</t>
  </si>
  <si>
    <t>ΒΑΓΓΕΛΑ</t>
  </si>
  <si>
    <t>ΑΝΝΑ ΜΑΓΔΑΛΗΝΗ</t>
  </si>
  <si>
    <t>ΑΖ176352</t>
  </si>
  <si>
    <t>Ρ190729</t>
  </si>
  <si>
    <t>1059,8</t>
  </si>
  <si>
    <t>Τ822017</t>
  </si>
  <si>
    <t>ΚΡΟΣΤΑΛΛΗΣ</t>
  </si>
  <si>
    <t>Χ891143</t>
  </si>
  <si>
    <t>ΑΕΡΟΠΟΥΛΟΥ</t>
  </si>
  <si>
    <t>ΑΗ351354</t>
  </si>
  <si>
    <t>ΑΗ 298173</t>
  </si>
  <si>
    <t>ΣΟΛΟΠΟΤΙΑ</t>
  </si>
  <si>
    <t>Χ455150</t>
  </si>
  <si>
    <t>1058,5</t>
  </si>
  <si>
    <t>ΜΑΛΛΙΟΥ</t>
  </si>
  <si>
    <t>ΑΙ 295694</t>
  </si>
  <si>
    <t>ΤΣΟΜΛΕΚΤΣΟΓΛΟΥ</t>
  </si>
  <si>
    <t>ΜΗΝΑΣ</t>
  </si>
  <si>
    <t>ΑΗ694071</t>
  </si>
  <si>
    <t>ΔΙΝΚΑ</t>
  </si>
  <si>
    <t>ΑΜ652030</t>
  </si>
  <si>
    <t>ΚΟΡΝΙΩΤΑΚΗ</t>
  </si>
  <si>
    <t>ΑΒ948501</t>
  </si>
  <si>
    <t>ΜΗΤΣΟΓΙΑΝΝΗ</t>
  </si>
  <si>
    <t>ΒΙΟΛΕΤΤΑ</t>
  </si>
  <si>
    <t>ΑΚ910803</t>
  </si>
  <si>
    <t>ΦΡΑΓΚΟΥΔΗ</t>
  </si>
  <si>
    <t>ΘΕΟΠΟΥΛΑ</t>
  </si>
  <si>
    <t>ΑΑ231141</t>
  </si>
  <si>
    <t>ΤΣΑΜΟΥ</t>
  </si>
  <si>
    <t>Χ889916</t>
  </si>
  <si>
    <t>986,7</t>
  </si>
  <si>
    <t>1056,7</t>
  </si>
  <si>
    <t>ΑΚ329876</t>
  </si>
  <si>
    <t>1056,5</t>
  </si>
  <si>
    <t>Χ448378</t>
  </si>
  <si>
    <t>1056,3</t>
  </si>
  <si>
    <t>ΚΟΥΤΣΙΚΟΣ</t>
  </si>
  <si>
    <t>Χ477202</t>
  </si>
  <si>
    <t>ΓΚΟΒΑΡΗ</t>
  </si>
  <si>
    <t>Φ478582</t>
  </si>
  <si>
    <t>1055,5</t>
  </si>
  <si>
    <t>ΠΕΙΟΣ</t>
  </si>
  <si>
    <t>ΑΖ803025</t>
  </si>
  <si>
    <t>1055,2</t>
  </si>
  <si>
    <t>ΚΟΥΣΗ</t>
  </si>
  <si>
    <t>ΑΗ679107</t>
  </si>
  <si>
    <t>1054,5</t>
  </si>
  <si>
    <t>ΚΑΝΑΚΑΡΑΚΗ</t>
  </si>
  <si>
    <t>ΑΙ188883</t>
  </si>
  <si>
    <t>ΑΖ984510</t>
  </si>
  <si>
    <t>ΤΣΙΑΠΑΡΑΣ</t>
  </si>
  <si>
    <t>ΠΡΑΞΙΤΕΛΗΣ ΣΤΥΛΙΑΝΟΣ</t>
  </si>
  <si>
    <t>ΑΖ183404</t>
  </si>
  <si>
    <t>ΜΠΟΡΙΛΑ</t>
  </si>
  <si>
    <t>ΑΖ785692</t>
  </si>
  <si>
    <t>ΚΟΥΦΑΚΗ</t>
  </si>
  <si>
    <t>Σ318888</t>
  </si>
  <si>
    <t>ΑΝΤΩΝΙΟΣ ΚΥΡΙΑΚΟΣ</t>
  </si>
  <si>
    <t>ΑΚ851225</t>
  </si>
  <si>
    <t>ΚΟΑΣΙΔΟΥ</t>
  </si>
  <si>
    <t>ΑΒ735306</t>
  </si>
  <si>
    <t>ΚΑΛΛΙΟΓΛΟΥ</t>
  </si>
  <si>
    <t>ΑΚ994331</t>
  </si>
  <si>
    <t>1053,6</t>
  </si>
  <si>
    <t>ΔΑΣΚΑΛΙΔΟΥ</t>
  </si>
  <si>
    <t>ΑΑ362485</t>
  </si>
  <si>
    <t>ΣΤΑΥΡΟΠΟΥΛΟΥ</t>
  </si>
  <si>
    <t>ΑΒ192642</t>
  </si>
  <si>
    <t>ΝΟΙΤΣΑΚΗΣ</t>
  </si>
  <si>
    <t>ΑΙ725196</t>
  </si>
  <si>
    <t>ΔΙΑΜΑΝΤΟΠΟΥΛΟΥ</t>
  </si>
  <si>
    <t>ΑΜ860787</t>
  </si>
  <si>
    <t>ΑΤΖΕΡΙΑΝ</t>
  </si>
  <si>
    <t>ΑΖ145604</t>
  </si>
  <si>
    <t>ΚΑΡΑΜΑΝΗ</t>
  </si>
  <si>
    <t>ΑΑ281192</t>
  </si>
  <si>
    <t>ΤΣΑΚΜΑΚΙΔΗΣ</t>
  </si>
  <si>
    <t>ΑΝ197572</t>
  </si>
  <si>
    <t>1051,5</t>
  </si>
  <si>
    <t>ΣΑΜΑΡΑΣ</t>
  </si>
  <si>
    <t>ΑΜ269585</t>
  </si>
  <si>
    <t>ΤΙΚΟΠΟΥΛΟΣ</t>
  </si>
  <si>
    <t>ΑΗ801163</t>
  </si>
  <si>
    <t>1050,1</t>
  </si>
  <si>
    <t>ΤΑΤΙΑΝΑ</t>
  </si>
  <si>
    <t>ΑΒ714028</t>
  </si>
  <si>
    <t>1049,5</t>
  </si>
  <si>
    <t>ΕΤΑΙΡΙΔΗΣ</t>
  </si>
  <si>
    <t>Χ816098</t>
  </si>
  <si>
    <t>1049,1</t>
  </si>
  <si>
    <t>ΑΑ311790</t>
  </si>
  <si>
    <t>ΜΑΡΚΟΥΣΗΣ</t>
  </si>
  <si>
    <t>ΑΙ332306</t>
  </si>
  <si>
    <t>ΜΟΥΣΙΚΑ</t>
  </si>
  <si>
    <t>ΑΕ922514</t>
  </si>
  <si>
    <t>ΑΗ197492</t>
  </si>
  <si>
    <t>ΔΑΣΚΑΛΟΠΟΥΛΟΥ</t>
  </si>
  <si>
    <t>ΕΥΡΙΔΙΚΗ</t>
  </si>
  <si>
    <t>ΑΑ437386</t>
  </si>
  <si>
    <t>ΑΜ923932</t>
  </si>
  <si>
    <t>1048,5</t>
  </si>
  <si>
    <t>ΔΗΜΗΤΡΙΑΔΗΣ</t>
  </si>
  <si>
    <t>ΣΑΡΑΝΤΗΣ</t>
  </si>
  <si>
    <t>Χ240569</t>
  </si>
  <si>
    <t>1047,5</t>
  </si>
  <si>
    <t>ΑΗ251944</t>
  </si>
  <si>
    <t>ΣΑΡΑΝΤΙΔΟΥ</t>
  </si>
  <si>
    <t>ΑΜ665069</t>
  </si>
  <si>
    <t>ΓΙΑΣΑΝΑΚΟΠΟΥΛΟΥ</t>
  </si>
  <si>
    <t>Χ475843</t>
  </si>
  <si>
    <t>ΑΙ980283</t>
  </si>
  <si>
    <t>ΜΑΝΟΣ</t>
  </si>
  <si>
    <t>ΑΕ995637</t>
  </si>
  <si>
    <t>ΤΡΙΦΤΑΝΙΔΟΥ</t>
  </si>
  <si>
    <t>ΑΙ168032</t>
  </si>
  <si>
    <t>ΚΑΡΑΔΕΝΙΖΛΗΣ</t>
  </si>
  <si>
    <t>Χ203876</t>
  </si>
  <si>
    <t>790,9</t>
  </si>
  <si>
    <t>1045,9</t>
  </si>
  <si>
    <t>ΟΚΟΥΜΟΥΣΗ</t>
  </si>
  <si>
    <t>ΑΖ698678</t>
  </si>
  <si>
    <t>1045,8</t>
  </si>
  <si>
    <t>ΑΖ781242</t>
  </si>
  <si>
    <t>665,5</t>
  </si>
  <si>
    <t>1045,5</t>
  </si>
  <si>
    <t>ΔΟΥΝΑΒΗ</t>
  </si>
  <si>
    <t>Σ951732</t>
  </si>
  <si>
    <t>1045,4</t>
  </si>
  <si>
    <t>ΑΤΣΑΛΑ</t>
  </si>
  <si>
    <t>ΑΜ271578</t>
  </si>
  <si>
    <t>ΠΑΠΑΛΑΜΠΡΗ</t>
  </si>
  <si>
    <t>ΑΚ388308</t>
  </si>
  <si>
    <t>ΑΚ935014</t>
  </si>
  <si>
    <t>ΤΟΛΙΔΟΥ</t>
  </si>
  <si>
    <t>ΑΜ889003</t>
  </si>
  <si>
    <t>1044,5</t>
  </si>
  <si>
    <t>ΚΟΥΡΚΟΥΤΑΣ</t>
  </si>
  <si>
    <t>Ρ823693</t>
  </si>
  <si>
    <t>Τ070412</t>
  </si>
  <si>
    <t>ΑΑ486867</t>
  </si>
  <si>
    <t>Λιόντας</t>
  </si>
  <si>
    <t xml:space="preserve">Αθανάσιος </t>
  </si>
  <si>
    <t>ΑΗ764715</t>
  </si>
  <si>
    <t>1043,5</t>
  </si>
  <si>
    <t>ΚΟΛΟΚΟΥΡΑ</t>
  </si>
  <si>
    <t>ΑΒ199263</t>
  </si>
  <si>
    <t>ΕΥΓΕΝΙΟΣ</t>
  </si>
  <si>
    <t>ΑΒ895411</t>
  </si>
  <si>
    <t>ΤΖΙΤΖΗ</t>
  </si>
  <si>
    <t>ΑΗ689361</t>
  </si>
  <si>
    <t>ΤΣΙΑΡΑ</t>
  </si>
  <si>
    <t>ΑΙ848480</t>
  </si>
  <si>
    <t>1041,7</t>
  </si>
  <si>
    <t>ΑΚ310072</t>
  </si>
  <si>
    <t>ΣΤΑΙΚΟΥ</t>
  </si>
  <si>
    <t>Ξ136337</t>
  </si>
  <si>
    <t>1040,5</t>
  </si>
  <si>
    <t>ΤΑΣΟΛΑΜΠΡΟΥ</t>
  </si>
  <si>
    <t>ΑΕ250146</t>
  </si>
  <si>
    <t>ΦΙΛΙΠΠΑΚΟΠΟΥΛΟΥ</t>
  </si>
  <si>
    <t>ΑΙ333299</t>
  </si>
  <si>
    <t>1039,8</t>
  </si>
  <si>
    <t>ΔΕΒΕΤΖΗ</t>
  </si>
  <si>
    <t>ΑΕ917061</t>
  </si>
  <si>
    <t>Ν370098</t>
  </si>
  <si>
    <t>ΜΕΓΑ</t>
  </si>
  <si>
    <t>ΑΖ805672</t>
  </si>
  <si>
    <t>ΤΣΙΤΣΙΛΑ</t>
  </si>
  <si>
    <t>Ν694900</t>
  </si>
  <si>
    <t>ΨΙΜΟΠΟΥΛΟΥ</t>
  </si>
  <si>
    <t>ΑΕ691387</t>
  </si>
  <si>
    <t>1039,4</t>
  </si>
  <si>
    <t>ΚΑΖΑΝΤΖΗ</t>
  </si>
  <si>
    <t>ΑΖ172567</t>
  </si>
  <si>
    <t>1039,3</t>
  </si>
  <si>
    <t>ΚΩΣΤΑΚΗ ΨΩΜΑ</t>
  </si>
  <si>
    <t>ΑΚ910409</t>
  </si>
  <si>
    <t>1039,1</t>
  </si>
  <si>
    <t>ΜΠΕΖΑΡΗ</t>
  </si>
  <si>
    <t>ΑΙ154414</t>
  </si>
  <si>
    <t>ΜΠΙΛΙΡΗ</t>
  </si>
  <si>
    <t>Φ242327</t>
  </si>
  <si>
    <t>1036,9</t>
  </si>
  <si>
    <t>ΚΟΥΜΛΗ</t>
  </si>
  <si>
    <t>Τ812418</t>
  </si>
  <si>
    <t>1035,5</t>
  </si>
  <si>
    <t>ΑΑ461718</t>
  </si>
  <si>
    <t>ΜΠΡΟΥΖΙΩΤΗ</t>
  </si>
  <si>
    <t>ΑΒ158854</t>
  </si>
  <si>
    <t>ΠΡΟΦΗΤΗΛΙΩΤΗ</t>
  </si>
  <si>
    <t>ΑΖ312441</t>
  </si>
  <si>
    <t>ΦΡΑΓΚΑΚΗ</t>
  </si>
  <si>
    <t>ΑΚ300661</t>
  </si>
  <si>
    <t>1034,5</t>
  </si>
  <si>
    <t>ΠΑΝΤΟΥΛΑ</t>
  </si>
  <si>
    <t>ΑΚ387082</t>
  </si>
  <si>
    <t>1034,4</t>
  </si>
  <si>
    <t>ΑΕ646351</t>
  </si>
  <si>
    <t>1034,3</t>
  </si>
  <si>
    <t>ΜΠΟΥΑ</t>
  </si>
  <si>
    <t>ΑΚ397103</t>
  </si>
  <si>
    <t>1033,5</t>
  </si>
  <si>
    <t>ΑΙ381955</t>
  </si>
  <si>
    <t>1033,2</t>
  </si>
  <si>
    <t>ΜΑΡΛΑ</t>
  </si>
  <si>
    <t>ΑΗ669547</t>
  </si>
  <si>
    <t>1032,5</t>
  </si>
  <si>
    <t>ΤΣΑΛΙΚΙΔΗΣ</t>
  </si>
  <si>
    <t>ΑΑ402446</t>
  </si>
  <si>
    <t>ΜΑΧΑΙΡΟΠΟΥΛΟΥ</t>
  </si>
  <si>
    <t>ΑΙ323543</t>
  </si>
  <si>
    <t>ΓΚΑΒΑΝΑ</t>
  </si>
  <si>
    <t>Χ340609</t>
  </si>
  <si>
    <t>ΛΑΜΠΡΑΚΑΚΗ</t>
  </si>
  <si>
    <t>ΑΖ022651</t>
  </si>
  <si>
    <t>ΓΚΑΛΕΤΣΗ</t>
  </si>
  <si>
    <t>ΑΕ161580</t>
  </si>
  <si>
    <t>652,3</t>
  </si>
  <si>
    <t>1030,3</t>
  </si>
  <si>
    <t>ΝΤΡΕΟΥ</t>
  </si>
  <si>
    <t>ΣΤΑΦΑΝ</t>
  </si>
  <si>
    <t>ΑΝ073605</t>
  </si>
  <si>
    <t>ΦΕΛΕΚΗ</t>
  </si>
  <si>
    <t>ΑΚ301767</t>
  </si>
  <si>
    <t>1029,9</t>
  </si>
  <si>
    <t>ΑΡΜΕΝ</t>
  </si>
  <si>
    <t>ΑΗ685206</t>
  </si>
  <si>
    <t>744,7</t>
  </si>
  <si>
    <t>1029,7</t>
  </si>
  <si>
    <t>ΑΗ812591</t>
  </si>
  <si>
    <t>ΤΣΑΚΛΙΔΟΥ</t>
  </si>
  <si>
    <t>Χ229676</t>
  </si>
  <si>
    <t>1029,5</t>
  </si>
  <si>
    <t>ΓΚΑΔΡΗ</t>
  </si>
  <si>
    <t>Χ476643</t>
  </si>
  <si>
    <t>ΤΣΕΤΣΙΛΑ</t>
  </si>
  <si>
    <t>ΑΒ697857</t>
  </si>
  <si>
    <t>ΒΥΡΛΙΟΥ</t>
  </si>
  <si>
    <t>ΑΗ190925</t>
  </si>
  <si>
    <t>ΑΛΕΞΑΝΔΡΟΠΟΥΛΟΥ</t>
  </si>
  <si>
    <t>ΜΕΘΟΔΙΟΣ</t>
  </si>
  <si>
    <t>ΑΚ323795</t>
  </si>
  <si>
    <t>731,5</t>
  </si>
  <si>
    <t>ΜΙΚΗΚΗ</t>
  </si>
  <si>
    <t>Ν442114</t>
  </si>
  <si>
    <t>487,3</t>
  </si>
  <si>
    <t>1028,3</t>
  </si>
  <si>
    <t>ΠΑΠΑΓΙΑΝΝΗΣ</t>
  </si>
  <si>
    <t>ΑΚ263055</t>
  </si>
  <si>
    <t>ΚΟΛΙΟΥΜΠΑ</t>
  </si>
  <si>
    <t>Ρ891091</t>
  </si>
  <si>
    <t>ΠΑΠΠΑ</t>
  </si>
  <si>
    <t>ΒΙΟΛΑΝΘΗ</t>
  </si>
  <si>
    <t>Τ881927</t>
  </si>
  <si>
    <t>ΖΙΑΦΕΤΗΣ</t>
  </si>
  <si>
    <t>ΑΒ140944</t>
  </si>
  <si>
    <t>1025,5</t>
  </si>
  <si>
    <t>ΖΑΒΑΝΤΙΑ</t>
  </si>
  <si>
    <t>ΧΡΙΣΤΙΝΑ-ΕΙΡΗΝΗ</t>
  </si>
  <si>
    <t>Χ457282</t>
  </si>
  <si>
    <t>ΑΝΑΓΝΩΣΤΟΥ</t>
  </si>
  <si>
    <t>ΑΙ879839</t>
  </si>
  <si>
    <t>ΗΣΑΙΤΣΑ</t>
  </si>
  <si>
    <t>ΑΜ878873</t>
  </si>
  <si>
    <t>ΒΡΕΤΤΗΣ</t>
  </si>
  <si>
    <t>Σ809673</t>
  </si>
  <si>
    <t>1023,5</t>
  </si>
  <si>
    <t>ΦΕΡΜΕΛΗ</t>
  </si>
  <si>
    <t>Χ301039</t>
  </si>
  <si>
    <t>ΔΙΝΟΒΙΤΣ</t>
  </si>
  <si>
    <t>ΑΚ668837</t>
  </si>
  <si>
    <t>1022,5</t>
  </si>
  <si>
    <t>ΑΒ354083</t>
  </si>
  <si>
    <t>1021,5</t>
  </si>
  <si>
    <t>ΜΠΑΝΔΑ</t>
  </si>
  <si>
    <t>ΑΖ344625</t>
  </si>
  <si>
    <t>ΔΗΜΗΤΡΟΥΛΑΣ</t>
  </si>
  <si>
    <t>ΑΕ751845</t>
  </si>
  <si>
    <t>1020,5</t>
  </si>
  <si>
    <t>ΤΣΙΑΦΙΤΣΑ</t>
  </si>
  <si>
    <t>ΧΑΡΙΣ</t>
  </si>
  <si>
    <t>ΑΑ236226</t>
  </si>
  <si>
    <t>ΑΖ841138</t>
  </si>
  <si>
    <t>ΚΕΜΑΝΙΔΟΥ</t>
  </si>
  <si>
    <t>ΑΖ857634</t>
  </si>
  <si>
    <t>ΓΟΥΝΑΡΗΣ</t>
  </si>
  <si>
    <t>ΑΙ374086</t>
  </si>
  <si>
    <t>1019,5</t>
  </si>
  <si>
    <t>ΤΣΑΚΑΛΕΡΗ</t>
  </si>
  <si>
    <t>ΑΒ358463</t>
  </si>
  <si>
    <t>ΠΑΝΑΓΑΡΗ</t>
  </si>
  <si>
    <t>ΔΙΟΝΥΣΙΑ</t>
  </si>
  <si>
    <t>Χ336454</t>
  </si>
  <si>
    <t>ΠΑΥΛΟΠΟΥΛΟΥ</t>
  </si>
  <si>
    <t>Φ474522</t>
  </si>
  <si>
    <t>ΓΩΓΟΥΛΟΣ</t>
  </si>
  <si>
    <t>Τ988531</t>
  </si>
  <si>
    <t>1018,5</t>
  </si>
  <si>
    <t>ΜΑΛΑΚΟΖΗ</t>
  </si>
  <si>
    <t>ΑΖ290258</t>
  </si>
  <si>
    <t>ΞΑΝΘΟΠΟΥΛΟΣ</t>
  </si>
  <si>
    <t>ΑΜ655839</t>
  </si>
  <si>
    <t>ΚΑΣΤΑΝΙΔΟΥ</t>
  </si>
  <si>
    <t>ΑΕ182303</t>
  </si>
  <si>
    <t>621,5</t>
  </si>
  <si>
    <t>1016,5</t>
  </si>
  <si>
    <t>ΚΟΡΤΣΙΝΙΔΟΥ</t>
  </si>
  <si>
    <t>ΑΑ308860</t>
  </si>
  <si>
    <t>ΛΑΖΟΠΟΥΛΟΥ</t>
  </si>
  <si>
    <t>ΔΕΣΠΟΙΝΑ ΧΡΙΣΤΙΝΑ</t>
  </si>
  <si>
    <t>ΑΖ805705</t>
  </si>
  <si>
    <t>ΜΗΛΙΑΡΕΣΗ</t>
  </si>
  <si>
    <t>ΑΗ653018</t>
  </si>
  <si>
    <t>ΣΙΑΦΑΡΙΚΑΣ</t>
  </si>
  <si>
    <t>Φ246842</t>
  </si>
  <si>
    <t>ΧΑΤΖΗΕΛΕΝΟΥΔΑ</t>
  </si>
  <si>
    <t>ΑΖ433980</t>
  </si>
  <si>
    <t>1015,6</t>
  </si>
  <si>
    <t>ΣΙΓΚΟΥΔΗ</t>
  </si>
  <si>
    <t>Χ923640</t>
  </si>
  <si>
    <t>1015,5</t>
  </si>
  <si>
    <t>ΑΒ676747</t>
  </si>
  <si>
    <t>1015,3</t>
  </si>
  <si>
    <t>ΜΠΑΣΙΟΥΚΑ</t>
  </si>
  <si>
    <t>Ρ435684</t>
  </si>
  <si>
    <t>1014,5</t>
  </si>
  <si>
    <t>ΚΑΡΑΜΕΤΟΥ</t>
  </si>
  <si>
    <t>Χ795397</t>
  </si>
  <si>
    <t>ΤΣΙΟΥΛΑΚΗΣ</t>
  </si>
  <si>
    <t>ΑΑ260632</t>
  </si>
  <si>
    <t>ΚΑΒΟΥΚΙΔΟΥ</t>
  </si>
  <si>
    <t>ΑΜ266596</t>
  </si>
  <si>
    <t>1013,7</t>
  </si>
  <si>
    <t>ΠΑΛΟΥΣΗ</t>
  </si>
  <si>
    <t>ΑΚ948069</t>
  </si>
  <si>
    <t>1013,5</t>
  </si>
  <si>
    <t>ΑΖ796729</t>
  </si>
  <si>
    <t>ΓΚΕΜΙΤΖΗ</t>
  </si>
  <si>
    <t>ΑΜ273292</t>
  </si>
  <si>
    <t>886,6</t>
  </si>
  <si>
    <t>1012,6</t>
  </si>
  <si>
    <t>ΑΙ878260</t>
  </si>
  <si>
    <t>1011,3</t>
  </si>
  <si>
    <t>ΣΤΑΜΟΣ</t>
  </si>
  <si>
    <t>ΑΜ253875</t>
  </si>
  <si>
    <t>ΜΠΑΚΟΥΤΣΗ</t>
  </si>
  <si>
    <t>ΝΑΟΥΜ</t>
  </si>
  <si>
    <t>ΑΚ309145</t>
  </si>
  <si>
    <t>1010,7</t>
  </si>
  <si>
    <t>ΓΙΑΝΤΣΟΥΔΗ</t>
  </si>
  <si>
    <t>ΠΑΥΛΙΝΑ</t>
  </si>
  <si>
    <t>ΑΖ801951</t>
  </si>
  <si>
    <t>1010,5</t>
  </si>
  <si>
    <t>ΓΚΟΛΙΔΑΚΗΣ</t>
  </si>
  <si>
    <t>ΑΝ355090</t>
  </si>
  <si>
    <t>ΤΣΑΒΛΗΣ</t>
  </si>
  <si>
    <t>ΑΑ934988</t>
  </si>
  <si>
    <t>ΑΒ192641</t>
  </si>
  <si>
    <t>ΑΜ670725</t>
  </si>
  <si>
    <t>ΙΛΤΣΟΥ</t>
  </si>
  <si>
    <t>ΙΩΑΝΝΑ-ΡΑΦΑΕΛΑ</t>
  </si>
  <si>
    <t>ΑΖ142879</t>
  </si>
  <si>
    <t>ΠΑΤΙΑ</t>
  </si>
  <si>
    <t>ΑΖ397471</t>
  </si>
  <si>
    <t>ΠΛΑΙΝΙΩΤΗ</t>
  </si>
  <si>
    <t>Τ805488</t>
  </si>
  <si>
    <t>ΚΑΛΑΘΑ</t>
  </si>
  <si>
    <t>ΑΜ683794</t>
  </si>
  <si>
    <t>1008,5</t>
  </si>
  <si>
    <t>ΓΚΕΝΙΟΥ</t>
  </si>
  <si>
    <t>ΑΚ442423</t>
  </si>
  <si>
    <t>1007,9</t>
  </si>
  <si>
    <t>ΚΩΤΣΟΥ</t>
  </si>
  <si>
    <t>ΑΖ991754</t>
  </si>
  <si>
    <t>1007,5</t>
  </si>
  <si>
    <t>ΤΟΥΛΟΠΟΥΛΟΣ</t>
  </si>
  <si>
    <t>Ρ349948</t>
  </si>
  <si>
    <t>ΣΕΡΙΑΔΟΥ</t>
  </si>
  <si>
    <t>ΑΜ421107</t>
  </si>
  <si>
    <t>1006,8</t>
  </si>
  <si>
    <t>ΑΛΕΛΗ</t>
  </si>
  <si>
    <t>ΑΗ852536</t>
  </si>
  <si>
    <t>1005,5</t>
  </si>
  <si>
    <t>ΣΥΝΤΡΙΔΟΥ</t>
  </si>
  <si>
    <t>ΣΟΥΖΑΝΑ</t>
  </si>
  <si>
    <t>ΑΙ718914</t>
  </si>
  <si>
    <t>ΚΑΡΤΣΙΣΤΑΡΗ</t>
  </si>
  <si>
    <t>ΑΖ692182</t>
  </si>
  <si>
    <t>1004,5</t>
  </si>
  <si>
    <t>ΑΜ712218</t>
  </si>
  <si>
    <t>1004,2</t>
  </si>
  <si>
    <t>ΚΟΚΚΙΝΙΔΟΥ</t>
  </si>
  <si>
    <t>ΑΖ852061</t>
  </si>
  <si>
    <t>1003,5</t>
  </si>
  <si>
    <t>ΜΑΡΚΟΥ</t>
  </si>
  <si>
    <t>ΑΖ309934</t>
  </si>
  <si>
    <t>ΜΕΙΤΑΝΙΔΟΥ</t>
  </si>
  <si>
    <t>ΑΗ693048</t>
  </si>
  <si>
    <t>ΤΣΙΡΟΥ</t>
  </si>
  <si>
    <t>Χ225110</t>
  </si>
  <si>
    <t>1002,5</t>
  </si>
  <si>
    <t>ΝΙΚΟΛΑΚΟΠΟΥΛΟΥ</t>
  </si>
  <si>
    <t>ΑΖ208802</t>
  </si>
  <si>
    <t>ΚΑΝΔΥΛΑΡΙΔΟΥ</t>
  </si>
  <si>
    <t>ΜΑΡΙΑ-ΔΗΜΗΤΡΑ</t>
  </si>
  <si>
    <t>ΑΚ305055</t>
  </si>
  <si>
    <t>ΓΚΟΥΒΕΛΟΥ</t>
  </si>
  <si>
    <t>Φ422236</t>
  </si>
  <si>
    <t>ΒΕΡΓΟΣ</t>
  </si>
  <si>
    <t>ΑΖ165226</t>
  </si>
  <si>
    <t>ΤΣΑΛΙΚΟΓΛΟΥ</t>
  </si>
  <si>
    <t>Ρ973410</t>
  </si>
  <si>
    <t>1001,3</t>
  </si>
  <si>
    <t>ΚΟΣΚΕΡΙΔΟΥ</t>
  </si>
  <si>
    <t>ΑΜ850313</t>
  </si>
  <si>
    <t>Ξ645251</t>
  </si>
  <si>
    <t>ΠΑΛΜΟΥ</t>
  </si>
  <si>
    <t>ΑΖ299932</t>
  </si>
  <si>
    <t>ΑΑ935615</t>
  </si>
  <si>
    <t>ΛΑΜΟΥΡΗ</t>
  </si>
  <si>
    <t>ΑΒ452435</t>
  </si>
  <si>
    <t>ΔΟΥΝΑΣ</t>
  </si>
  <si>
    <t>ΑΑ255121</t>
  </si>
  <si>
    <t>ΑΕ382065</t>
  </si>
  <si>
    <t>999,5</t>
  </si>
  <si>
    <t>ΑΚΡΙΔΑ</t>
  </si>
  <si>
    <t>ΗΛΙΑΣ ΠΑΝΑΓΙΩΤΗΣ</t>
  </si>
  <si>
    <t>ΑΒ093872</t>
  </si>
  <si>
    <t>ΘΕΟΧΑΡΙΔΟΥ</t>
  </si>
  <si>
    <t>Χ886230</t>
  </si>
  <si>
    <t>999,1</t>
  </si>
  <si>
    <t>ΠΑΝΑΓΟΠΟΥΛΟΥ</t>
  </si>
  <si>
    <t>ΡΑΛΛΙΑ ΡΑΛΟΥ</t>
  </si>
  <si>
    <t>ΑΝ215579</t>
  </si>
  <si>
    <t>ΑΒΑΝΙΔΗΣ</t>
  </si>
  <si>
    <t>ΑΕ836259</t>
  </si>
  <si>
    <t>998,6</t>
  </si>
  <si>
    <t>ΦΩΤΕΙΝΟΠΟΥΛΟΥ</t>
  </si>
  <si>
    <t>ΑΙ204776</t>
  </si>
  <si>
    <t>928,4</t>
  </si>
  <si>
    <t>998,4</t>
  </si>
  <si>
    <t>ΑΝΣΟΥΡΙΑΝ</t>
  </si>
  <si>
    <t>ΑΖ 192407</t>
  </si>
  <si>
    <t>ΚΑΤΣΑΛΗΡΟΣ</t>
  </si>
  <si>
    <t>ΑΕ585374</t>
  </si>
  <si>
    <t>ΑΖ818991</t>
  </si>
  <si>
    <t>ΑΚ885222</t>
  </si>
  <si>
    <t>997,5</t>
  </si>
  <si>
    <t>ΖΙΟΥΠΟΥ</t>
  </si>
  <si>
    <t>ΑΕ092358</t>
  </si>
  <si>
    <t>Χ313198</t>
  </si>
  <si>
    <t>ΑΚ750755</t>
  </si>
  <si>
    <t>ΠΑΝΔΡΙΑ</t>
  </si>
  <si>
    <t>ΑΕ674949</t>
  </si>
  <si>
    <t>ΒΑΣΙΛΕΙΑΔΗΣ</t>
  </si>
  <si>
    <t>Χ757642</t>
  </si>
  <si>
    <t>ΓΑΒΡΙΗΛΙΔΗΣ</t>
  </si>
  <si>
    <t>ΑΖ693512</t>
  </si>
  <si>
    <t>ΜΠΑΤΣΟΥΛΗ</t>
  </si>
  <si>
    <t>Χ961671</t>
  </si>
  <si>
    <t>Ρ193168</t>
  </si>
  <si>
    <t>679,8</t>
  </si>
  <si>
    <t>994,8</t>
  </si>
  <si>
    <t>ΤΕΡΖΟΠΟΥΛΟΥ</t>
  </si>
  <si>
    <t>Ρ755996</t>
  </si>
  <si>
    <t>ΓΚΟΥΣΙΑΡΗ</t>
  </si>
  <si>
    <t>ΙΠΠΟΚΡΑΤΗΣ</t>
  </si>
  <si>
    <t>ΑΒ108110</t>
  </si>
  <si>
    <t>ΜΠΟΛΟΡΙΖΟΥ</t>
  </si>
  <si>
    <t>ΑΖ289197</t>
  </si>
  <si>
    <t>ΣΟΦΙΑΝΟΥ</t>
  </si>
  <si>
    <t>ΑΕ226665</t>
  </si>
  <si>
    <t>ΚΑΜΑΛ ΘΩΜΑΣ</t>
  </si>
  <si>
    <t>ΑΚ894194</t>
  </si>
  <si>
    <t>ΚΤΕΝΙΑΔΗ</t>
  </si>
  <si>
    <t>ΑΚ928330</t>
  </si>
  <si>
    <t>992,5</t>
  </si>
  <si>
    <t>ΧΡΥΣΟΥΛΗ</t>
  </si>
  <si>
    <t>ΑΚ874957</t>
  </si>
  <si>
    <t>ΡΑΠΑΝΑΚΗΣ</t>
  </si>
  <si>
    <t>ΑΕ464378</t>
  </si>
  <si>
    <t>ΑΜ441533</t>
  </si>
  <si>
    <t>ΣΤΡΑΤΑΚΗ</t>
  </si>
  <si>
    <t>ΑΕ658480</t>
  </si>
  <si>
    <t>ΚΑΡΤΑΛΙΔΗΣ</t>
  </si>
  <si>
    <t>Π806618</t>
  </si>
  <si>
    <t>ΝΙΤΗ</t>
  </si>
  <si>
    <t>ANNA</t>
  </si>
  <si>
    <t>ΑΙ170563</t>
  </si>
  <si>
    <t>ΕΥΣΤΡΑΤΙΟΣ ΣΤΕΦΑΝΟΥ</t>
  </si>
  <si>
    <t>ΑΒ935660</t>
  </si>
  <si>
    <t>ΜΑΤΣΙΡΑΣ</t>
  </si>
  <si>
    <t>ΑΙ261011</t>
  </si>
  <si>
    <t>ΜΠΑΛΟΥΤΣΟΥ</t>
  </si>
  <si>
    <t>ΑΙ720501</t>
  </si>
  <si>
    <t>743,6</t>
  </si>
  <si>
    <t>988,6</t>
  </si>
  <si>
    <t>ΠΟΥΛΚΟΣ</t>
  </si>
  <si>
    <t>ΑΗ802980</t>
  </si>
  <si>
    <t>988,5</t>
  </si>
  <si>
    <t>ΤΣΕΜΠΟΓΛΟΥ</t>
  </si>
  <si>
    <t>Χ699851</t>
  </si>
  <si>
    <t>ΑΒ676102</t>
  </si>
  <si>
    <t>ΣΑΓΑΝΗ</t>
  </si>
  <si>
    <t>Χ779110</t>
  </si>
  <si>
    <t>986,5</t>
  </si>
  <si>
    <t>ΤΣΑΚΑΛΙΔΟΥ</t>
  </si>
  <si>
    <t>ΑΗ393950</t>
  </si>
  <si>
    <t>986,4</t>
  </si>
  <si>
    <t>ΛΑΖΟΥ</t>
  </si>
  <si>
    <t>ΑΑ458042</t>
  </si>
  <si>
    <t>ΤΣΟΒΙΛΗ</t>
  </si>
  <si>
    <t>ΑΒ621815</t>
  </si>
  <si>
    <t>985,5</t>
  </si>
  <si>
    <t>ΠΛΗΓΟΥΡΟΥΔΗ</t>
  </si>
  <si>
    <t>ΑΕ385380</t>
  </si>
  <si>
    <t>ΑΜ655090</t>
  </si>
  <si>
    <t>981,5</t>
  </si>
  <si>
    <t>ΤΖΙΑΜΠΑΣΗ</t>
  </si>
  <si>
    <t>ΑΒ447183</t>
  </si>
  <si>
    <t>ΑΖ317986</t>
  </si>
  <si>
    <t>Π810762</t>
  </si>
  <si>
    <t>980,5</t>
  </si>
  <si>
    <t>ΤΣΙΤΟΥΡΙΔΟΥ</t>
  </si>
  <si>
    <t>Χ745548</t>
  </si>
  <si>
    <t>979,7</t>
  </si>
  <si>
    <t>ΑΝ222485</t>
  </si>
  <si>
    <t>ΝΤΟΝΤΗ</t>
  </si>
  <si>
    <t>ΑΙ222480</t>
  </si>
  <si>
    <t>ΚΟΥΚΟΖΕΛΗ</t>
  </si>
  <si>
    <t>ΑΖ283281</t>
  </si>
  <si>
    <t>979,5</t>
  </si>
  <si>
    <t>ΚΥΡΚΙΜΤΖΗ</t>
  </si>
  <si>
    <t>ΙΣΜΗΝΗ ΧΑΡΑ</t>
  </si>
  <si>
    <t>ΑΕ683847</t>
  </si>
  <si>
    <t>ΑΒ867505</t>
  </si>
  <si>
    <t>ΞΕΝΑΚΗ</t>
  </si>
  <si>
    <t>ΑΑ267017</t>
  </si>
  <si>
    <t>978,5</t>
  </si>
  <si>
    <t>ΑΙ180739</t>
  </si>
  <si>
    <t>977,5</t>
  </si>
  <si>
    <t>ΜΠΑΡΤΖΩΚΑ</t>
  </si>
  <si>
    <t>Ρ876348</t>
  </si>
  <si>
    <t>ΤΣΑΒΔΑΡΟΓΛΟΥ</t>
  </si>
  <si>
    <t>ΑΚ927736</t>
  </si>
  <si>
    <t>ΑΜ286058</t>
  </si>
  <si>
    <t>ΑΒ442076</t>
  </si>
  <si>
    <t>ΣΕΛΙΑΜΗ</t>
  </si>
  <si>
    <t>ΑΒ749019</t>
  </si>
  <si>
    <t>ΚΟΥΛΕΡΗΣ</t>
  </si>
  <si>
    <t>ΑΚ391793</t>
  </si>
  <si>
    <t>ΣΙΑΣΙΑΡΙΔΟΥ</t>
  </si>
  <si>
    <t>ΑΝ188540</t>
  </si>
  <si>
    <t>974,5</t>
  </si>
  <si>
    <t>ΠΑΝΤΑΖΗ</t>
  </si>
  <si>
    <t>ΓΑΡΥΦΑΛΛΙΑ</t>
  </si>
  <si>
    <t>ΑΜ384317</t>
  </si>
  <si>
    <t>Χ253979</t>
  </si>
  <si>
    <t>ΜΠΕΛΛΗΣ</t>
  </si>
  <si>
    <t>Χ729995</t>
  </si>
  <si>
    <t>ΠΕΤΡΟΥΤΣΟΥ</t>
  </si>
  <si>
    <t>ΧΑΡΑΛΑΜΠΙΑ</t>
  </si>
  <si>
    <t>ΑΙ215773</t>
  </si>
  <si>
    <t>ΣΑΜΑΡΤΖΗ</t>
  </si>
  <si>
    <t>ΑΗ692870</t>
  </si>
  <si>
    <t>972,5</t>
  </si>
  <si>
    <t>ΣΤΕΦΟΥ</t>
  </si>
  <si>
    <t>ΑΒ699690</t>
  </si>
  <si>
    <t>ΑΙ196644</t>
  </si>
  <si>
    <t>971,5</t>
  </si>
  <si>
    <t>ΒΟΥΚΕΛΑΤΟΣ</t>
  </si>
  <si>
    <t>ΑΒ242799</t>
  </si>
  <si>
    <t>ΑΗ290145</t>
  </si>
  <si>
    <t>ΤΣΑΡΟΥΧΗ</t>
  </si>
  <si>
    <t>ΑΕ333279</t>
  </si>
  <si>
    <t>970,5</t>
  </si>
  <si>
    <t>ΒΛΙΩΡΑ</t>
  </si>
  <si>
    <t>ΑΙ285340</t>
  </si>
  <si>
    <t>ΣΤΕΡΓΙΔΟΥ</t>
  </si>
  <si>
    <t>ΑΗ360748</t>
  </si>
  <si>
    <t>ΣΑΚΑΛΗ</t>
  </si>
  <si>
    <t>ΑΝ229504</t>
  </si>
  <si>
    <t>ΟΙΚΟΝΟΜΙΔΟΥ</t>
  </si>
  <si>
    <t>Φ183402</t>
  </si>
  <si>
    <t>969,5</t>
  </si>
  <si>
    <t>ΑΙ340603</t>
  </si>
  <si>
    <t>ΑΒ362508</t>
  </si>
  <si>
    <t>ΑΔΑΜΟΥΔΗ</t>
  </si>
  <si>
    <t>ΑΝ221204</t>
  </si>
  <si>
    <t>ΚΑΣΣΑΝΔΡΙΑΝΟΣ</t>
  </si>
  <si>
    <t>ΒΛΑΣΗΣ</t>
  </si>
  <si>
    <t>ΑΒ019261</t>
  </si>
  <si>
    <t>ΚΑΜΠΑ</t>
  </si>
  <si>
    <t>ΑΙ178164</t>
  </si>
  <si>
    <t>967,5</t>
  </si>
  <si>
    <t>ΑΒ113610</t>
  </si>
  <si>
    <t>ΑΑ231161</t>
  </si>
  <si>
    <t>ΓΚΑΓΚΛΟΥ</t>
  </si>
  <si>
    <t>Φ331028</t>
  </si>
  <si>
    <t>966,5</t>
  </si>
  <si>
    <t>ΑΝ100867</t>
  </si>
  <si>
    <t>ΑΕ686350</t>
  </si>
  <si>
    <t>ΑΜ818893</t>
  </si>
  <si>
    <t>702-703-705</t>
  </si>
  <si>
    <t>ΚΑΛΟΥΔΗ</t>
  </si>
  <si>
    <t>ΑΕ653037</t>
  </si>
  <si>
    <t>ΠΑΠΑΧΡΥΣΟΠΟΥΛΟΣ</t>
  </si>
  <si>
    <t>ΑΑ259387</t>
  </si>
  <si>
    <t>965,1</t>
  </si>
  <si>
    <t>ΑΝΑΣΤΑΣΙΑΔΗ</t>
  </si>
  <si>
    <t>ΑΗ177239</t>
  </si>
  <si>
    <t>ΧΑΤΖΗΓΕΩΡΓΙΟΥ</t>
  </si>
  <si>
    <t>ΑΒ141948</t>
  </si>
  <si>
    <t>ΒΑΡΔΟΥΝΙΩΤΗΣ</t>
  </si>
  <si>
    <t>ΑΗ279581</t>
  </si>
  <si>
    <t>Τ581440</t>
  </si>
  <si>
    <t>963,7</t>
  </si>
  <si>
    <t>ΤΣΙΟΛΑΚΙΔΟΥ</t>
  </si>
  <si>
    <t>Ξ579754</t>
  </si>
  <si>
    <t>ΑΒ979034</t>
  </si>
  <si>
    <t>ΚΑΡΑΛΗΣ</t>
  </si>
  <si>
    <t>ΑΑ472950</t>
  </si>
  <si>
    <t>ΑΣΠΙΩΤΗ</t>
  </si>
  <si>
    <t>ΑΕ297698</t>
  </si>
  <si>
    <t>ΤΣΑΟΥΣΙΔΗΣ</t>
  </si>
  <si>
    <t>ΑΝ345086</t>
  </si>
  <si>
    <t>ΧΡΙΣΤΟΔΟΥΛΟΣ</t>
  </si>
  <si>
    <t>ΑΖ888221</t>
  </si>
  <si>
    <t>ΚΟΛΟΚΑ</t>
  </si>
  <si>
    <t>Σ875584</t>
  </si>
  <si>
    <t>ΚΟΚΟΤΑ</t>
  </si>
  <si>
    <t>ΙΣΜΗΝΗ</t>
  </si>
  <si>
    <t>Σ303777</t>
  </si>
  <si>
    <t>960,6</t>
  </si>
  <si>
    <t>ΘΕΟΦΑΝΙΔΟΥ</t>
  </si>
  <si>
    <t>ΑΙ098754</t>
  </si>
  <si>
    <t>959,5</t>
  </si>
  <si>
    <t>ΜΗΤΣΟΣ</t>
  </si>
  <si>
    <t>ΑΙ229647</t>
  </si>
  <si>
    <t>773,3</t>
  </si>
  <si>
    <t>958,3</t>
  </si>
  <si>
    <t>ΣΟΥΜΕΛΙΔΗΣ</t>
  </si>
  <si>
    <t>ΑΗ855102</t>
  </si>
  <si>
    <t>957,5</t>
  </si>
  <si>
    <t>ΣΤΕΡΓΑΚΗΣ</t>
  </si>
  <si>
    <t>Σ969887</t>
  </si>
  <si>
    <t>ΜΑΡΗ</t>
  </si>
  <si>
    <t>ΑΑ310520</t>
  </si>
  <si>
    <t>ΚΟΜΜΑΤΑ</t>
  </si>
  <si>
    <t>ΑΚ333205</t>
  </si>
  <si>
    <t>750,2</t>
  </si>
  <si>
    <t>956,2</t>
  </si>
  <si>
    <t>ΚΑΚΑΛΟΠΟΥΛΟΥ</t>
  </si>
  <si>
    <t>ΒΑΣΙΛΕΙΟΣ ΣΤΥΛΙΑΝΟΣ</t>
  </si>
  <si>
    <t>ΑΗ168906</t>
  </si>
  <si>
    <t>955,5</t>
  </si>
  <si>
    <t>ΜΠΟΥΡΧΑ</t>
  </si>
  <si>
    <t>Χ396264</t>
  </si>
  <si>
    <t>954,7</t>
  </si>
  <si>
    <t>ΣΒΩΛΗΣ</t>
  </si>
  <si>
    <t>ΑΑ260130</t>
  </si>
  <si>
    <t>ΚΑΛΟΓΕΡΑΚΗ</t>
  </si>
  <si>
    <t>ΑΗ262863</t>
  </si>
  <si>
    <t>ΛΟΥΔΑ</t>
  </si>
  <si>
    <t>ΜΑΡΙΑ ΠΗΝΕΛΟΠΗ</t>
  </si>
  <si>
    <t>Φ156276</t>
  </si>
  <si>
    <t>953,5</t>
  </si>
  <si>
    <t>ΓΡΗΓΟΡΙΟΥ</t>
  </si>
  <si>
    <t>ΑΙ294057</t>
  </si>
  <si>
    <t>703-701-702</t>
  </si>
  <si>
    <t>ΤΟΥΛΟΥΜΕΝΙΔΟΥ</t>
  </si>
  <si>
    <t>ΑΕ345251</t>
  </si>
  <si>
    <t>ΑΖ790909</t>
  </si>
  <si>
    <t>ΦΟΥΤΖΙΤΖΑΚΗ</t>
  </si>
  <si>
    <t>ΑΒ143573</t>
  </si>
  <si>
    <t>950,5</t>
  </si>
  <si>
    <t>ΜΑΓΔΑΛΗΝΙΔΟΥ</t>
  </si>
  <si>
    <t>ΑΔΕΛΛΑ</t>
  </si>
  <si>
    <t>ΑΗ651596</t>
  </si>
  <si>
    <t>ΒΑΛΑΜΠΟΥ</t>
  </si>
  <si>
    <t>ΑΜ675452</t>
  </si>
  <si>
    <t>ΠΑΠΑΦΙΛΙΠΠΟΥ</t>
  </si>
  <si>
    <t>ΜΑΡΙΑ ΔΕΣΠΟΙΝΑ</t>
  </si>
  <si>
    <t>Σ405831</t>
  </si>
  <si>
    <t>948,5</t>
  </si>
  <si>
    <t>ΤΣΙΛΙΓΚΙΡΗΣ</t>
  </si>
  <si>
    <t>ΑΑ384498</t>
  </si>
  <si>
    <t>ΧΑΤΖΗΜΑΥΡΟΥ</t>
  </si>
  <si>
    <t>ΑΗ840728</t>
  </si>
  <si>
    <t>ΤΕΛΕΟΓΛΟΥ</t>
  </si>
  <si>
    <t>ΕΥΤΥΤΧΙΑ</t>
  </si>
  <si>
    <t>Τ790178</t>
  </si>
  <si>
    <t>948,2</t>
  </si>
  <si>
    <t>ΠΑΠΑΝΤΩΝΙΟΥ</t>
  </si>
  <si>
    <t>ΑΒ917482</t>
  </si>
  <si>
    <t>947,5</t>
  </si>
  <si>
    <t>ΠΑΠΑΚΥΡΙΔΟΥ</t>
  </si>
  <si>
    <t>ΑΕ641563</t>
  </si>
  <si>
    <t>946,5</t>
  </si>
  <si>
    <t>ΔΕΛΟΓΛΕΛΗ</t>
  </si>
  <si>
    <t>ΑΒ123809</t>
  </si>
  <si>
    <t>ΝΟΥΛΗ</t>
  </si>
  <si>
    <t>ΧΡΗΣΤΙΝΑ</t>
  </si>
  <si>
    <t>Χ236849</t>
  </si>
  <si>
    <t>910,8</t>
  </si>
  <si>
    <t>945,8</t>
  </si>
  <si>
    <t>ΑΙ868142</t>
  </si>
  <si>
    <t>ΑΙ738134</t>
  </si>
  <si>
    <t>ΑΘΑΝΑΣΙΑ - ΑΝΑΣΤΑΣΙΑ</t>
  </si>
  <si>
    <t>ΑΙ321844</t>
  </si>
  <si>
    <t>ΓΑΒΡΟΓΙΑΝΝΗ</t>
  </si>
  <si>
    <t>ΑΒ270065</t>
  </si>
  <si>
    <t>ΡΟΥΣΗ</t>
  </si>
  <si>
    <t>ΑΚ 423883</t>
  </si>
  <si>
    <t>ΜΑΝΟΥΣΑΡΙΔΟΥ</t>
  </si>
  <si>
    <t>ΑΕ215985</t>
  </si>
  <si>
    <t>ΓΕΤΙΜΗΣ</t>
  </si>
  <si>
    <t>ΑΕ345912</t>
  </si>
  <si>
    <t>ΜΑΡΟΓΙΑΝΝΗ</t>
  </si>
  <si>
    <t>ΑΖ669082</t>
  </si>
  <si>
    <t>ΓΑΛΑΤΣΟΠΟΥΛΟΣ</t>
  </si>
  <si>
    <t>ΑΖ686353</t>
  </si>
  <si>
    <t>ΠΑΝΑΚΗΣ</t>
  </si>
  <si>
    <t>ΑΚ982444</t>
  </si>
  <si>
    <t>939,5</t>
  </si>
  <si>
    <t>Φ474319</t>
  </si>
  <si>
    <t>ΖΩΓΡΑΦΙΝΑ</t>
  </si>
  <si>
    <t>ΑΖ346776</t>
  </si>
  <si>
    <t>ΑΒ676590</t>
  </si>
  <si>
    <t>787,6</t>
  </si>
  <si>
    <t>937,6</t>
  </si>
  <si>
    <t>ΣΤΑΥΡΟΥ</t>
  </si>
  <si>
    <t>Χ976975</t>
  </si>
  <si>
    <t>ΦΩΤΙΑΔΗΣ</t>
  </si>
  <si>
    <t>ΑΕ657962</t>
  </si>
  <si>
    <t xml:space="preserve">ΣΠΟΥΡΓΙΤΗ </t>
  </si>
  <si>
    <t>Ρ209555</t>
  </si>
  <si>
    <t>ΤΖΟΥΒΕΛΕΚΗ</t>
  </si>
  <si>
    <t>ΑΝΔΡΕΑΝΑ</t>
  </si>
  <si>
    <t>ΑΜ426483</t>
  </si>
  <si>
    <t>935,5</t>
  </si>
  <si>
    <t>ΜΠΑΛΚΑΜΗ</t>
  </si>
  <si>
    <t>ΑΚ887885</t>
  </si>
  <si>
    <t>ΜΑΝΔΑΤΖΗΣ</t>
  </si>
  <si>
    <t>ΑΜ255822</t>
  </si>
  <si>
    <t>ΒΑΚΟΥΛΑ</t>
  </si>
  <si>
    <t>ΑΕ645966</t>
  </si>
  <si>
    <t>ΡΕΜΒΟΥ</t>
  </si>
  <si>
    <t>ΑΕ167948</t>
  </si>
  <si>
    <t>ΑΜ683856</t>
  </si>
  <si>
    <t>ΙΩΑΝΝΙΔΗΣ</t>
  </si>
  <si>
    <t>ΜΑΡΙΟΣ</t>
  </si>
  <si>
    <t>Φ192984</t>
  </si>
  <si>
    <t>ΓΙΟΒΑΝΟΠΟΥΛΟΥ</t>
  </si>
  <si>
    <t>ΑΒ118441</t>
  </si>
  <si>
    <t>ΓΙΑΓΜΟΥΡΙΔΟΥ</t>
  </si>
  <si>
    <t>ΣΜΑΡΩ</t>
  </si>
  <si>
    <t>ΑΙ192634</t>
  </si>
  <si>
    <t>ΚΟΥΚΑ</t>
  </si>
  <si>
    <t>ΘΕΟΔΟΣΙΑ</t>
  </si>
  <si>
    <t>ΑΒ670030</t>
  </si>
  <si>
    <t>ΤΕΣΣΑΡΙΔΟΥ</t>
  </si>
  <si>
    <t>ΘΑΛΑΣΣΙΝΗ</t>
  </si>
  <si>
    <t>ΑΕ382893</t>
  </si>
  <si>
    <t>ΔΑΛΑΜΗΤΡΑ</t>
  </si>
  <si>
    <t>ΑΗ192233</t>
  </si>
  <si>
    <t>ΑΙ151389</t>
  </si>
  <si>
    <t>934,8</t>
  </si>
  <si>
    <t>ΧΑΛΑΣΤΡΑ</t>
  </si>
  <si>
    <t>ΑΙ329485</t>
  </si>
  <si>
    <t>934,5</t>
  </si>
  <si>
    <t>ΚΟΥΝΤΟΥΡΑ</t>
  </si>
  <si>
    <t>ΑΝΤΩΝΙΟΣ-ΛΑΜΠΡΟΣ</t>
  </si>
  <si>
    <t>Χ772919</t>
  </si>
  <si>
    <t>ΑΝΤΩΝΙΑΝ</t>
  </si>
  <si>
    <t>Ρ474301</t>
  </si>
  <si>
    <t>933,5</t>
  </si>
  <si>
    <t>ΒΑΛΙΩΚΗ</t>
  </si>
  <si>
    <t>Χ971873</t>
  </si>
  <si>
    <t>ΑΕ176816</t>
  </si>
  <si>
    <t>ΜΑΥΡΟΔΗΜΟΥ</t>
  </si>
  <si>
    <t xml:space="preserve">ΕΛΕΝΗ </t>
  </si>
  <si>
    <t>ΑΗ793866</t>
  </si>
  <si>
    <t>ΑΒ146855</t>
  </si>
  <si>
    <t>931,5</t>
  </si>
  <si>
    <t>ΑΙ164404</t>
  </si>
  <si>
    <t>ΚΥΡΟΔΗΜΟΥ</t>
  </si>
  <si>
    <t>ΑΗ691870</t>
  </si>
  <si>
    <t>ΤΣΕΛΕΜΠΟΝΗ</t>
  </si>
  <si>
    <t>ΑΒ447880</t>
  </si>
  <si>
    <t>ΜΟΡΕΛΛΟΣ</t>
  </si>
  <si>
    <t>ΑΒ148293</t>
  </si>
  <si>
    <t>ΑΔΑΜΙΔΗΣ</t>
  </si>
  <si>
    <t>ΑΖ786952</t>
  </si>
  <si>
    <t>ΓΙΑΝΝΙΩΤΗ</t>
  </si>
  <si>
    <t>ΕΥΜΟΡΦΙΑ</t>
  </si>
  <si>
    <t>Χ231521</t>
  </si>
  <si>
    <t>ΔΗΜΗΤΡΙΑΔΗ</t>
  </si>
  <si>
    <t>ΑΕ530370</t>
  </si>
  <si>
    <t>927,5</t>
  </si>
  <si>
    <t>ΚΟΚΟΣΗ</t>
  </si>
  <si>
    <t>ΑΖ142691</t>
  </si>
  <si>
    <t>927,4</t>
  </si>
  <si>
    <t>ΑΗ312483</t>
  </si>
  <si>
    <t>926,7</t>
  </si>
  <si>
    <t>ΚΑΡΑΚΙΤΣΙΟΥ</t>
  </si>
  <si>
    <t>Χ978754</t>
  </si>
  <si>
    <t>926,5</t>
  </si>
  <si>
    <t>Δραμηλάρη</t>
  </si>
  <si>
    <t>Ελισάβετ</t>
  </si>
  <si>
    <t>ΑΙ370493</t>
  </si>
  <si>
    <t>ΕΥΘΥΒΟΥΛΙΔΟΥ</t>
  </si>
  <si>
    <t>ΑΚ995083</t>
  </si>
  <si>
    <t>ΠΕΤΡΟΥ</t>
  </si>
  <si>
    <t>ΑΗ089583</t>
  </si>
  <si>
    <t>ΚΑΡΑΜΗΤΣΙΟΥ</t>
  </si>
  <si>
    <t>ΑΜ651640</t>
  </si>
  <si>
    <t>ΚΑΡΑΔΗΜΟΣ</t>
  </si>
  <si>
    <t>Σ395815</t>
  </si>
  <si>
    <t>924,9</t>
  </si>
  <si>
    <t>Φ273325</t>
  </si>
  <si>
    <t>ΣΑΡΙΔΗΣ</t>
  </si>
  <si>
    <t>ΘΗΣΕΑΣ</t>
  </si>
  <si>
    <t>ΑΖ859876</t>
  </si>
  <si>
    <t>599,5</t>
  </si>
  <si>
    <t>923,5</t>
  </si>
  <si>
    <t>Χ452660</t>
  </si>
  <si>
    <t>922,5</t>
  </si>
  <si>
    <t>ΤΣΙΜΠΟΥΡΙΚΟΥ</t>
  </si>
  <si>
    <t>Χ435559</t>
  </si>
  <si>
    <t>Χ481857</t>
  </si>
  <si>
    <t>ΓΚΑΤΣΑ</t>
  </si>
  <si>
    <t>ΤΑΤΙΑΝΗ</t>
  </si>
  <si>
    <t>Χ893240</t>
  </si>
  <si>
    <t>919,5</t>
  </si>
  <si>
    <t>ΧΡΙΣΤΟΠΟΥΛΟΣ</t>
  </si>
  <si>
    <t>Χ298402</t>
  </si>
  <si>
    <t>ΡΑΣΙΔΑΚΗ</t>
  </si>
  <si>
    <t>ΑΙ155320</t>
  </si>
  <si>
    <t>ΑΑ431372</t>
  </si>
  <si>
    <t>ΚΟΝΤΟΔΗΜΑ</t>
  </si>
  <si>
    <t>Χ795775</t>
  </si>
  <si>
    <t>917,5</t>
  </si>
  <si>
    <t>ΑΝΤΩΝΟΠΟΥΛΟΥ</t>
  </si>
  <si>
    <t>ΑΙ793842</t>
  </si>
  <si>
    <t>916,6</t>
  </si>
  <si>
    <t>ΑΗ171993</t>
  </si>
  <si>
    <t>915,5</t>
  </si>
  <si>
    <t>ΣΙΟΥΛΑ</t>
  </si>
  <si>
    <t>ΑΒ451794</t>
  </si>
  <si>
    <t>913,5</t>
  </si>
  <si>
    <t>Τότη</t>
  </si>
  <si>
    <t>Τριανταφυλλιά</t>
  </si>
  <si>
    <t>Απόστολος</t>
  </si>
  <si>
    <t>Χ977955</t>
  </si>
  <si>
    <t>ΒΑΣΤΕΑ</t>
  </si>
  <si>
    <t>ΑΙ720623</t>
  </si>
  <si>
    <t>912,5</t>
  </si>
  <si>
    <t>704-702-703</t>
  </si>
  <si>
    <t>ΠΑΝΑΓΙΩΤΙΔΗΣ</t>
  </si>
  <si>
    <t>ΠΑΙΣΙΟΣ</t>
  </si>
  <si>
    <t>Χ379071</t>
  </si>
  <si>
    <t>ΑΑ267161</t>
  </si>
  <si>
    <t>ΑΥΓΕΡΙΝΟΥΔΗ</t>
  </si>
  <si>
    <t>ΔΗΜΗΤΡΑ ΜΑΡΙΑ</t>
  </si>
  <si>
    <t>Χ593348</t>
  </si>
  <si>
    <t>ΣΕΔΙΚΟΥ</t>
  </si>
  <si>
    <t>ΑΒ842059</t>
  </si>
  <si>
    <t>ΞΕΝΙΔΗΣ</t>
  </si>
  <si>
    <t>Χ451917</t>
  </si>
  <si>
    <t>ΝΥΚΤΑΣ</t>
  </si>
  <si>
    <t>ΑΗ471189</t>
  </si>
  <si>
    <t>Χ374883</t>
  </si>
  <si>
    <t>ΣΤΡΟΓΓΥΛΗ</t>
  </si>
  <si>
    <t>ΑΗ784477</t>
  </si>
  <si>
    <t>909,5</t>
  </si>
  <si>
    <t>ΘΕΟΚΛΗΤΟΥ</t>
  </si>
  <si>
    <t>ΑΙ159436</t>
  </si>
  <si>
    <t>909,3</t>
  </si>
  <si>
    <t>ΚΥΦΩΝΙΔΗ</t>
  </si>
  <si>
    <t>ΒΑΣΙΛΙΚΗ-ΣΩΤΗΡΙΑ</t>
  </si>
  <si>
    <t>ΑΖ492097</t>
  </si>
  <si>
    <t>ΓΙΑΞΗΣ</t>
  </si>
  <si>
    <t>ΑΜ901869</t>
  </si>
  <si>
    <t>904,5</t>
  </si>
  <si>
    <t>ΜΑΛΛΗ</t>
  </si>
  <si>
    <t>ΑΑ288366</t>
  </si>
  <si>
    <t>ΜΠΑΝΤΟΥΝΑ</t>
  </si>
  <si>
    <t>ΑΖ216586</t>
  </si>
  <si>
    <t>ΣΚΑΚΑΡΑ</t>
  </si>
  <si>
    <t>ΑΗ174452</t>
  </si>
  <si>
    <t>ΧΑΤΖΗΝΙΖΑΜΗ</t>
  </si>
  <si>
    <t>ΑΒ167075</t>
  </si>
  <si>
    <t>ΑΖ739275</t>
  </si>
  <si>
    <t>903,5</t>
  </si>
  <si>
    <t>ΛΙΑΚΟΥΛΗ</t>
  </si>
  <si>
    <t>Χ906199</t>
  </si>
  <si>
    <t>ΑΜ435084</t>
  </si>
  <si>
    <t>902,8</t>
  </si>
  <si>
    <t>ΦΑΝΟΥΡΑΚΗΣ</t>
  </si>
  <si>
    <t>ΑΗ483795</t>
  </si>
  <si>
    <t>Χ746478</t>
  </si>
  <si>
    <t>ΚΑΛΟΓΕΡΟΠΟΥΛΟΥ</t>
  </si>
  <si>
    <t>Φ174841</t>
  </si>
  <si>
    <t>Φ289165</t>
  </si>
  <si>
    <t>900,5</t>
  </si>
  <si>
    <t>ΜΠΛΙΘΙΚΙΩΤΗ</t>
  </si>
  <si>
    <t>ΑΕ747159</t>
  </si>
  <si>
    <t>ΚΡΑΛΗ</t>
  </si>
  <si>
    <t>ΑΗ897814</t>
  </si>
  <si>
    <t>899,9</t>
  </si>
  <si>
    <t>ΚΟΥΚΟΥΒΙΤΗΣ</t>
  </si>
  <si>
    <t>ΑΖ 662568</t>
  </si>
  <si>
    <t>899,5</t>
  </si>
  <si>
    <t>ΑΥΓΗ</t>
  </si>
  <si>
    <t>Φ166824</t>
  </si>
  <si>
    <t>ΑΡΑΠΙΔΗΣ</t>
  </si>
  <si>
    <t>ΑΖ305346</t>
  </si>
  <si>
    <t>ΑΕ357446</t>
  </si>
  <si>
    <t>ΚΑΡΑΣΜΑΝΗ</t>
  </si>
  <si>
    <t>ΑΒ441029</t>
  </si>
  <si>
    <t>ΑΚ312021</t>
  </si>
  <si>
    <t>897,5</t>
  </si>
  <si>
    <t>Χ745769</t>
  </si>
  <si>
    <t>ΑΜ667687</t>
  </si>
  <si>
    <t>ΚΟΥΚΟΥΛΗ</t>
  </si>
  <si>
    <t>ΑΜ277135</t>
  </si>
  <si>
    <t>ΓΕΡΟΠΑΥΛΟΥ</t>
  </si>
  <si>
    <t>ΔΙΟΜΗΔΗΣ</t>
  </si>
  <si>
    <t>ΑΜ672358</t>
  </si>
  <si>
    <t>ΚΑΤΣΙΔΗ</t>
  </si>
  <si>
    <t>ΑΒ061763</t>
  </si>
  <si>
    <t>ΑΘΑΝΑΣΙΑ-ΕΥΛΑΒΙΑ</t>
  </si>
  <si>
    <t>ΑΒ904018</t>
  </si>
  <si>
    <t>ΚΕΡΑΣΤΑ</t>
  </si>
  <si>
    <t>ΑΕ491742</t>
  </si>
  <si>
    <t>ΓΚΟΥΜΑ</t>
  </si>
  <si>
    <t xml:space="preserve">ΚΑΛΛΙΟΠΗ </t>
  </si>
  <si>
    <t>ΑΙ479890</t>
  </si>
  <si>
    <t>ΛΑΓΚΑΔΙΤΗ</t>
  </si>
  <si>
    <t>ΑΙ044801</t>
  </si>
  <si>
    <t>ΚΙΣΣΟΥΔΗ</t>
  </si>
  <si>
    <t>ΑΑ230218</t>
  </si>
  <si>
    <t>ΜΑΚΕΔΟΣ</t>
  </si>
  <si>
    <t>ΑΒ689331</t>
  </si>
  <si>
    <t>ΖΥΛΗ</t>
  </si>
  <si>
    <t>ΑΒ413733</t>
  </si>
  <si>
    <t>893,9</t>
  </si>
  <si>
    <t>ΠΑΠΑΔΑΜΙΑΝΟΥ</t>
  </si>
  <si>
    <t>ΑΑ245988</t>
  </si>
  <si>
    <t>893,5</t>
  </si>
  <si>
    <t>ΖΑΦΕΙΡΟΠΟΥΛΟΣ</t>
  </si>
  <si>
    <t>ΑΜ303542</t>
  </si>
  <si>
    <t>ΛΑΓΙΟΥ</t>
  </si>
  <si>
    <t>ΑΗ088900</t>
  </si>
  <si>
    <t>ΤΑΚΟΥΜΑΚΗ</t>
  </si>
  <si>
    <t>Τ889017</t>
  </si>
  <si>
    <t>ΚΑΤΩΤΡΙΑΤΗ</t>
  </si>
  <si>
    <t>ΟΥΡΑΝΙΑ ΚΑΛΥΨΩ</t>
  </si>
  <si>
    <t>ΑΑ440611</t>
  </si>
  <si>
    <t>ΑΣΑΛΟΥΜΙΔΟΥ</t>
  </si>
  <si>
    <t>ΑΙ867689</t>
  </si>
  <si>
    <t>ΣΤΕΦΑΝΙΔΗΣ</t>
  </si>
  <si>
    <t>ΑΒ094041</t>
  </si>
  <si>
    <t>ΚΑΡΒΟΥΝΗΣ</t>
  </si>
  <si>
    <t>ΑΗ418490</t>
  </si>
  <si>
    <t>ΜΟΥΓΤΟΥΣΙΔΟΥ</t>
  </si>
  <si>
    <t>ΑΙ347169</t>
  </si>
  <si>
    <t>ΚΟΛΥΠΕΤΡΗ</t>
  </si>
  <si>
    <t>ΣΟΝΙΑ</t>
  </si>
  <si>
    <t>Χ341316</t>
  </si>
  <si>
    <t>ΚΟΝΤΟΓΙΑΝΝΗΣ</t>
  </si>
  <si>
    <t>ΑΒ061414</t>
  </si>
  <si>
    <t>ΔΟΥΚΑΣ</t>
  </si>
  <si>
    <t>ΑΒ164314</t>
  </si>
  <si>
    <t>882,5</t>
  </si>
  <si>
    <t>ΧΑΤΖΗΣΑΒΒΑΣ</t>
  </si>
  <si>
    <t>ΑΒ832623</t>
  </si>
  <si>
    <t>ΑΗ180558</t>
  </si>
  <si>
    <t>ΑΗ180868</t>
  </si>
  <si>
    <t>ΚΟΥΚΟΥ</t>
  </si>
  <si>
    <t>ΑΝ204697</t>
  </si>
  <si>
    <t>ΧΑΙΝΟΠΟΥΛΟΥ</t>
  </si>
  <si>
    <t>ΑΙ191901</t>
  </si>
  <si>
    <t>ΖΩΧΙΟΥ</t>
  </si>
  <si>
    <t>ΡΑΝΙΑ</t>
  </si>
  <si>
    <t>ΑΑ245783</t>
  </si>
  <si>
    <t>ΑΒ622474</t>
  </si>
  <si>
    <t>Χ765921</t>
  </si>
  <si>
    <t>ΝΤΑΙΒΙΣ</t>
  </si>
  <si>
    <t>ΒΑΛΕΝΤΙΝΗ</t>
  </si>
  <si>
    <t>ΑΗ729053</t>
  </si>
  <si>
    <t>ΑΝ184435</t>
  </si>
  <si>
    <t>878,5</t>
  </si>
  <si>
    <t>ΑΑ482480</t>
  </si>
  <si>
    <t>577,5</t>
  </si>
  <si>
    <t>ΜΕΙΝΤΑΝΗ</t>
  </si>
  <si>
    <t>ΑΚ869255</t>
  </si>
  <si>
    <t>842,6</t>
  </si>
  <si>
    <t>877,6</t>
  </si>
  <si>
    <t>ΓΙΑΝΝΟΥΣΗ</t>
  </si>
  <si>
    <t>ΑΙ739985</t>
  </si>
  <si>
    <t>ΘΩΜΟΠΟΥΛΟΥ</t>
  </si>
  <si>
    <t>ΑΗ730153</t>
  </si>
  <si>
    <t>ΕΥΡΙΠΙΔΗΣ</t>
  </si>
  <si>
    <t>Χ893400</t>
  </si>
  <si>
    <t>875,6</t>
  </si>
  <si>
    <t>ΝΤΑΛΑ</t>
  </si>
  <si>
    <t>ΑΚ276636</t>
  </si>
  <si>
    <t>875,5</t>
  </si>
  <si>
    <t>ΖΑΡΙΜΠΑ</t>
  </si>
  <si>
    <t>ΑΗ168547</t>
  </si>
  <si>
    <t>ΚΡΙΚΛΑΝΗ</t>
  </si>
  <si>
    <t>ΑΚ880656</t>
  </si>
  <si>
    <t>872,5</t>
  </si>
  <si>
    <t>ΒΥΡΩΝ-ΧΡΗΣΤΟΣ</t>
  </si>
  <si>
    <t>ΑΒ896128</t>
  </si>
  <si>
    <t>871,5</t>
  </si>
  <si>
    <t>ΠΑΠΑΓΟΡΑ</t>
  </si>
  <si>
    <t>ΑΗ288453</t>
  </si>
  <si>
    <t>ΜΙΛΚΟΥ</t>
  </si>
  <si>
    <t>Χ324688</t>
  </si>
  <si>
    <t>ΑΒ461122</t>
  </si>
  <si>
    <t>ΑΣΙΑΤΙΔΟΥ</t>
  </si>
  <si>
    <t>ΑΖ188867</t>
  </si>
  <si>
    <t>ΒΕΡΓΙΔΟΥ</t>
  </si>
  <si>
    <t>ΑΜ679798</t>
  </si>
  <si>
    <t>ΓΚΑΡΑΓΚΟΥΝΗΣ</t>
  </si>
  <si>
    <t>ΑΙ339411</t>
  </si>
  <si>
    <t>ΓΙΟΥΔΑΣ</t>
  </si>
  <si>
    <t>ΑΜ273559</t>
  </si>
  <si>
    <t>867,1</t>
  </si>
  <si>
    <t>Δημητριαδου</t>
  </si>
  <si>
    <t>Κωνσταντίνος</t>
  </si>
  <si>
    <t>ΑΒ118385</t>
  </si>
  <si>
    <t>ΤΑΞΟΣ</t>
  </si>
  <si>
    <t>ΑΖ267122</t>
  </si>
  <si>
    <t>ΚΑΤΣΩΝΗ</t>
  </si>
  <si>
    <t>ΚΩΝΣΤΑΝΤΙΝΟΣ ΓΕΩΡΓΙΟΣ</t>
  </si>
  <si>
    <t>ΑΒ916349</t>
  </si>
  <si>
    <t>ΜΠΑΞΕΒΑΝΗ</t>
  </si>
  <si>
    <t>ΑΖ330931</t>
  </si>
  <si>
    <t>Χ259993</t>
  </si>
  <si>
    <t>862,4</t>
  </si>
  <si>
    <t>ΝΤΕΚΟΥΜΕ</t>
  </si>
  <si>
    <t>Τ258561</t>
  </si>
  <si>
    <t>Τ794980</t>
  </si>
  <si>
    <t>ΑΖ796283</t>
  </si>
  <si>
    <t>ΕΥΓΕΝΑΚΗΣ</t>
  </si>
  <si>
    <t>Φ154028</t>
  </si>
  <si>
    <t>ΑΒ108627</t>
  </si>
  <si>
    <t>ΒΑΛΑ</t>
  </si>
  <si>
    <t>ΑΖ313971</t>
  </si>
  <si>
    <t>ΝΙΚΟΥ</t>
  </si>
  <si>
    <t>ΑΖ654110</t>
  </si>
  <si>
    <t>ΧΑΤΖΗΚΡΑΝΙΩΤΗΣ</t>
  </si>
  <si>
    <t>ΑΑ271267</t>
  </si>
  <si>
    <t>Ρ426864</t>
  </si>
  <si>
    <t>ΤΑΤΣΗ</t>
  </si>
  <si>
    <t>ΑΖ720141</t>
  </si>
  <si>
    <t>ΜΟΥΜΤΖΗ</t>
  </si>
  <si>
    <t>Ν632350</t>
  </si>
  <si>
    <t>ΠΑΝΤΖΙΚΗ</t>
  </si>
  <si>
    <t>Π424307</t>
  </si>
  <si>
    <t>849,5</t>
  </si>
  <si>
    <t>ΠΕΤΡΟΥΣΗΣ</t>
  </si>
  <si>
    <t>ΑΝ387434</t>
  </si>
  <si>
    <t>ΑΓΓΕΛΙΝΟΣ</t>
  </si>
  <si>
    <t>ΑΖ431285</t>
  </si>
  <si>
    <t>ΑΡΟΓΛΟΥ</t>
  </si>
  <si>
    <t>ΜΑΡΙΑ-ΜΑΛΑΜΑΤΕΝΙΑ</t>
  </si>
  <si>
    <t>ΑΗ657040</t>
  </si>
  <si>
    <t>Αποστόλου</t>
  </si>
  <si>
    <t xml:space="preserve">Λαμπρινή </t>
  </si>
  <si>
    <t xml:space="preserve">Χρήστος </t>
  </si>
  <si>
    <t>Φ185292</t>
  </si>
  <si>
    <t>702-701-703-704-705</t>
  </si>
  <si>
    <t>ΚΙΤΤΑΚΗ</t>
  </si>
  <si>
    <t>ΑΕ904167</t>
  </si>
  <si>
    <t>ΜΑΤΘΑΙΑΔΟΥ</t>
  </si>
  <si>
    <t>ΑΛΕΞΑΝΔΡ</t>
  </si>
  <si>
    <t>ΑΑ278147</t>
  </si>
  <si>
    <t>844,6</t>
  </si>
  <si>
    <t>ΖΤΟΥΠΑ</t>
  </si>
  <si>
    <t>ΑΗ793474</t>
  </si>
  <si>
    <t>ΧΑΤΖΗΜΠΑΤΖΑΚΗΣ</t>
  </si>
  <si>
    <t>ΑΗ895953</t>
  </si>
  <si>
    <t>843,7</t>
  </si>
  <si>
    <t>ΣΤΑΥΡΟΥΛΟΠΟΥΛΟΥ</t>
  </si>
  <si>
    <t>ΖΩΗΣ</t>
  </si>
  <si>
    <t>ΑΖ215396</t>
  </si>
  <si>
    <t>ΠΑΛΙΔΗΣ</t>
  </si>
  <si>
    <t>Χ274471</t>
  </si>
  <si>
    <t>ΒΑΚΡΑΤΣΑ</t>
  </si>
  <si>
    <t>ΑΜ277801</t>
  </si>
  <si>
    <t>ΑΙ178353</t>
  </si>
  <si>
    <t>ΓΡΑΒΑΝΗΣ</t>
  </si>
  <si>
    <t>ΑΑ971593</t>
  </si>
  <si>
    <t>ΦΑΛΛΙΑ</t>
  </si>
  <si>
    <t>ΑΑ942557</t>
  </si>
  <si>
    <t>688,6</t>
  </si>
  <si>
    <t>838,6</t>
  </si>
  <si>
    <t>ΝΤΑΟΥΤΗ</t>
  </si>
  <si>
    <t>Χ266296</t>
  </si>
  <si>
    <t>ΠΑΤΡΑ</t>
  </si>
  <si>
    <t>ΑΒ108872</t>
  </si>
  <si>
    <t>ΝΙΚΟΛΟΓΙΑΝΝΗ</t>
  </si>
  <si>
    <t>ΑΒ771329</t>
  </si>
  <si>
    <t>835,5</t>
  </si>
  <si>
    <t>ΣΛΑΥΚΙΔΗΣ</t>
  </si>
  <si>
    <t>Χ740261</t>
  </si>
  <si>
    <t>832,5</t>
  </si>
  <si>
    <t>ΜΠΟΥΤΣΑΚΗΣ</t>
  </si>
  <si>
    <t>ΑΙ439555</t>
  </si>
  <si>
    <t>Τ466214</t>
  </si>
  <si>
    <t>ΓΑΖΕΤΑ</t>
  </si>
  <si>
    <t>ΑΗ233186</t>
  </si>
  <si>
    <t>ΑΕ996713</t>
  </si>
  <si>
    <t>ΜΟΥΖΑΚΗ</t>
  </si>
  <si>
    <t>ΑΜ809971</t>
  </si>
  <si>
    <t>ΧΡΥΣΑΦΙΔΟΥ</t>
  </si>
  <si>
    <t>ΑΝ208763</t>
  </si>
  <si>
    <t>Χ844999</t>
  </si>
  <si>
    <t>825,5</t>
  </si>
  <si>
    <t xml:space="preserve">ΑΝΝΑ </t>
  </si>
  <si>
    <t>Φ328145</t>
  </si>
  <si>
    <t>ΔΑΦΟΥΛΗ</t>
  </si>
  <si>
    <t>Χ987959</t>
  </si>
  <si>
    <t>ΚΥΡΚΑΡΑ</t>
  </si>
  <si>
    <t>ΑΑ338721</t>
  </si>
  <si>
    <t>ΚΟΝΟΒΕΣΗ</t>
  </si>
  <si>
    <t>ΑΑ349417</t>
  </si>
  <si>
    <t>ΓΕΩΡΓΟΠΟΥΛΟΥ</t>
  </si>
  <si>
    <t>ΑΕ239077</t>
  </si>
  <si>
    <t>ΤΕΡΖΟΥΔΗ</t>
  </si>
  <si>
    <t>ΑΗ414661</t>
  </si>
  <si>
    <t>ΤΟΥΤΣΕΡΙΔΟΥ</t>
  </si>
  <si>
    <t xml:space="preserve">ΙΦΙΓΕΝΕΙΑ </t>
  </si>
  <si>
    <t>ΑΖ858480</t>
  </si>
  <si>
    <t>ΜΟΥΡΟΥ</t>
  </si>
  <si>
    <t>Σ963815</t>
  </si>
  <si>
    <t>ΑΜ882202</t>
  </si>
  <si>
    <t>824,2</t>
  </si>
  <si>
    <t>ΒΑΡΚΑ</t>
  </si>
  <si>
    <t>ΑΗ659388</t>
  </si>
  <si>
    <t>ΑΙ399549</t>
  </si>
  <si>
    <t>819,9</t>
  </si>
  <si>
    <t>ΑΒ439504</t>
  </si>
  <si>
    <t>ΑΑ238850</t>
  </si>
  <si>
    <t>816,5</t>
  </si>
  <si>
    <t>ΠΡΟΒΑΤΙΔΟΥ</t>
  </si>
  <si>
    <t xml:space="preserve">ΜΑΡΙΑ </t>
  </si>
  <si>
    <t>ΑΗ858258</t>
  </si>
  <si>
    <t>696,3</t>
  </si>
  <si>
    <t>815,3</t>
  </si>
  <si>
    <t>ΟΡΦΑΝΙΔΗΣ</t>
  </si>
  <si>
    <t>ΑΗ655034</t>
  </si>
  <si>
    <t>634,7</t>
  </si>
  <si>
    <t>814,7</t>
  </si>
  <si>
    <t>ΑΗ191530</t>
  </si>
  <si>
    <t>ΞΑΦΟΥΔΗ</t>
  </si>
  <si>
    <t>ΑΙ180265</t>
  </si>
  <si>
    <t>ΒΡΑΜΠΑΚΗ</t>
  </si>
  <si>
    <t>ΑΜ276937</t>
  </si>
  <si>
    <t>813,5</t>
  </si>
  <si>
    <t>ΖΗΡΝΑ</t>
  </si>
  <si>
    <t>ΑΜ823691</t>
  </si>
  <si>
    <t>ΚΥΡΣΤΑΥΡΙΔΟΥ</t>
  </si>
  <si>
    <t>ΜΑΚΡΙΝΑ</t>
  </si>
  <si>
    <t>ΑΚ933496</t>
  </si>
  <si>
    <t>ΑΑ251383</t>
  </si>
  <si>
    <t>ΤΙΚΟΥ</t>
  </si>
  <si>
    <t>ΑΕ874500</t>
  </si>
  <si>
    <t>805,5</t>
  </si>
  <si>
    <t>ΧΑΝΑ</t>
  </si>
  <si>
    <t>ΑΜ683539</t>
  </si>
  <si>
    <t>ΤΣΙΤΣΑ</t>
  </si>
  <si>
    <t>ΣΤΑΜΑΤΙΝΑ</t>
  </si>
  <si>
    <t>ΑΕ733397</t>
  </si>
  <si>
    <t>ΓΚΑΡΕΛΙΔΗΣ</t>
  </si>
  <si>
    <t>Φ159328</t>
  </si>
  <si>
    <t>ΦΥΤΟΖΙΔΟΥ</t>
  </si>
  <si>
    <t>ΑΖ140122</t>
  </si>
  <si>
    <t>ΚΑΛΛΙΝΗ</t>
  </si>
  <si>
    <t>ΑΕ167116</t>
  </si>
  <si>
    <t>ΓΑΚΟΠΟΥΛΟΥ</t>
  </si>
  <si>
    <t>ΑΗ165418</t>
  </si>
  <si>
    <t>802,5</t>
  </si>
  <si>
    <t>ΒΙΡΑΜΠΙΑΝ</t>
  </si>
  <si>
    <t>ΑΣΙΑ</t>
  </si>
  <si>
    <t>ΓΚΑΓΚΙΚ</t>
  </si>
  <si>
    <t>ΑΜ898448</t>
  </si>
  <si>
    <t>Χ411108</t>
  </si>
  <si>
    <t>752,4</t>
  </si>
  <si>
    <t>802,4</t>
  </si>
  <si>
    <t>ΚΝΗΤΗ</t>
  </si>
  <si>
    <t>ΧΡΙΣΤΙΑΝΝΑ</t>
  </si>
  <si>
    <t>ΑΝ202581</t>
  </si>
  <si>
    <t>ΚΕΡΑΣΤΑΣ</t>
  </si>
  <si>
    <t>Χ308429</t>
  </si>
  <si>
    <t>ΚΑΚΑΦΩΝΗ</t>
  </si>
  <si>
    <t>ΑΜ304988</t>
  </si>
  <si>
    <t>ΑΓΑΘΑΓΓΕΛΟΣ</t>
  </si>
  <si>
    <t>ΤΑΞΙΑΡΧΗΣ</t>
  </si>
  <si>
    <t>Ξ624161</t>
  </si>
  <si>
    <t>ΜΗΤΩΝΑΣ</t>
  </si>
  <si>
    <t>ΑΙ348792</t>
  </si>
  <si>
    <t>794,7</t>
  </si>
  <si>
    <t>ΑΕ648119</t>
  </si>
  <si>
    <t>ΚΑΣΙΑΡΑ</t>
  </si>
  <si>
    <t>ΑΖ159341</t>
  </si>
  <si>
    <t>785,1</t>
  </si>
  <si>
    <t>ΑΝΑΣΤΑΣΟΠΟΥΛΟΣ</t>
  </si>
  <si>
    <t>ΑΗ273846</t>
  </si>
  <si>
    <t>ΠΕΤΑΛΟΥΔΗΣ</t>
  </si>
  <si>
    <t>ΑΖ897996</t>
  </si>
  <si>
    <t>ΓΙΑΝΝΟΓΛΟΥ</t>
  </si>
  <si>
    <t>Ξ539660</t>
  </si>
  <si>
    <t>784,6</t>
  </si>
  <si>
    <t>ΤΣΑΓΙΑ</t>
  </si>
  <si>
    <t>ΑΑ869157</t>
  </si>
  <si>
    <t>ΜΑΥΡΟΓΙΩΡΓΗΣ</t>
  </si>
  <si>
    <t>ΑΑ267814</t>
  </si>
  <si>
    <t>783,5</t>
  </si>
  <si>
    <t>ΜΙΡΑΚΑ</t>
  </si>
  <si>
    <t>ΟΡΝΕΛΑ</t>
  </si>
  <si>
    <t>ΔΗΜΗΤΕΡ</t>
  </si>
  <si>
    <t>ΑΝ006259</t>
  </si>
  <si>
    <t>ΑΗ677625</t>
  </si>
  <si>
    <t>ΑΑ971639</t>
  </si>
  <si>
    <t>ΑΚ931254</t>
  </si>
  <si>
    <t>ΑΒ149947</t>
  </si>
  <si>
    <t>774,5</t>
  </si>
  <si>
    <t>ΗΛΙΟΣΤΑΛΑΚΤΗ</t>
  </si>
  <si>
    <t>ΑΚ268387</t>
  </si>
  <si>
    <t>ΚΑΖΟΛΕΑ</t>
  </si>
  <si>
    <t>ΑΖ683125</t>
  </si>
  <si>
    <t>772,5</t>
  </si>
  <si>
    <t>ΚΑΤΣΙΑΦΛΑΚΑΣ</t>
  </si>
  <si>
    <t>ΑΒ111647</t>
  </si>
  <si>
    <t>ΤΥΡΙΤΙΔΗΣ</t>
  </si>
  <si>
    <t>ΑΙ726586</t>
  </si>
  <si>
    <t>770,5</t>
  </si>
  <si>
    <t>ΣΟΥΛΙΟΣ</t>
  </si>
  <si>
    <t>Τ990079</t>
  </si>
  <si>
    <t>ΑΑ485006</t>
  </si>
  <si>
    <t>ΒΑΡΣΑΜΗ</t>
  </si>
  <si>
    <t>ΜΑΡΙΑΝΘΗ ΗΡΩ</t>
  </si>
  <si>
    <t>ΑΖ400331</t>
  </si>
  <si>
    <t>ΓΚΙΓΚΟΠΟΥΛΟΥ</t>
  </si>
  <si>
    <t>ΑΙ878261</t>
  </si>
  <si>
    <t>ΡΑΠΤΟΥ</t>
  </si>
  <si>
    <t>ΑΕ176917</t>
  </si>
  <si>
    <t>ΧΑΤΖΗΛΑΖΑΡΟΥ</t>
  </si>
  <si>
    <t>Χ741589</t>
  </si>
  <si>
    <t>ΑΒ770767</t>
  </si>
  <si>
    <t>ΜΑΝΤΣΙΔΟΥ</t>
  </si>
  <si>
    <t>ΣΤΑΙΚΟΣ</t>
  </si>
  <si>
    <t>ΑΖ651722</t>
  </si>
  <si>
    <t>733,7</t>
  </si>
  <si>
    <t>763,7</t>
  </si>
  <si>
    <t>ΤΕΜΕΡΤΖΙΔΗΣ</t>
  </si>
  <si>
    <t>ΑΖ194590</t>
  </si>
  <si>
    <t>ΣΟΥΚΑ</t>
  </si>
  <si>
    <t>Χ361683</t>
  </si>
  <si>
    <t>ΑΑ231686</t>
  </si>
  <si>
    <t>759,5</t>
  </si>
  <si>
    <t>ΤΣΟΜΠΑΝΗ</t>
  </si>
  <si>
    <t>ΑΖ852780</t>
  </si>
  <si>
    <t>ΑΗ400011</t>
  </si>
  <si>
    <t>755,5</t>
  </si>
  <si>
    <t>ΙΟΡΔΑΝΙΔΗΣ</t>
  </si>
  <si>
    <t>ΑΚ263897</t>
  </si>
  <si>
    <t>ΘΕΟΦΥΛΑΚΤΟΥ</t>
  </si>
  <si>
    <t>Χ370024</t>
  </si>
  <si>
    <t>ΧΑΤΖΗΝΙΚΟΛΑΟΥ</t>
  </si>
  <si>
    <t>ΑΙ714611</t>
  </si>
  <si>
    <t>ΑΡΑΜΠΑΤΖΗΣ</t>
  </si>
  <si>
    <t>ΑΑ477677</t>
  </si>
  <si>
    <t>ΠΛΙΟΥΜΠΗ</t>
  </si>
  <si>
    <t>ΑΜ858477</t>
  </si>
  <si>
    <t>ΑΕ996817</t>
  </si>
  <si>
    <t>745,5</t>
  </si>
  <si>
    <t>ΔΑΡΙΒΙΑΝΑΚΗ</t>
  </si>
  <si>
    <t>Φ252234</t>
  </si>
  <si>
    <t>ΑΕ858573</t>
  </si>
  <si>
    <t>ΚΑΡΑΜΑΛΗ</t>
  </si>
  <si>
    <t>ΑΖ291478</t>
  </si>
  <si>
    <t>ΔΑΙΟΣ ΓΚΑΛΑΝ</t>
  </si>
  <si>
    <t>ΜΙΓΚΕΛ</t>
  </si>
  <si>
    <t>ΑΚ916573</t>
  </si>
  <si>
    <t>ΤΣΑΚΑΛΟΥ</t>
  </si>
  <si>
    <t>ΑΜ298877</t>
  </si>
  <si>
    <t>729,5</t>
  </si>
  <si>
    <t>ΣΤΑΜΟΥ</t>
  </si>
  <si>
    <t>ΑΕ212064</t>
  </si>
  <si>
    <t>ΣΥΜΕΩΝΙΔΗΣ</t>
  </si>
  <si>
    <t>Χ748713</t>
  </si>
  <si>
    <t>728,2</t>
  </si>
  <si>
    <t>ΓΙΟΒΑΝΟΠΟΥΛΟΣ</t>
  </si>
  <si>
    <t>Τ320368</t>
  </si>
  <si>
    <t>ΚΑΚΚΑΡΟΥ</t>
  </si>
  <si>
    <t>Χ420207</t>
  </si>
  <si>
    <t>ΡΕΚΟΥΜΗΣ</t>
  </si>
  <si>
    <t>ΑΗ782330</t>
  </si>
  <si>
    <t>ΚΥΡΙΑΖΟΠΟΥΛΟΣ</t>
  </si>
  <si>
    <t>ΑΚ910132</t>
  </si>
  <si>
    <t>ΚΕΣΚΕΣΙΔΟΥ</t>
  </si>
  <si>
    <t>Χ451910</t>
  </si>
  <si>
    <t>ΓΚΟΛΙΑΣ</t>
  </si>
  <si>
    <t>ΑΖ771929</t>
  </si>
  <si>
    <t>ΛΑΜΠΡΙΑΝΙΔΗΣ</t>
  </si>
  <si>
    <t>ΑΙ323746</t>
  </si>
  <si>
    <t>713,5</t>
  </si>
  <si>
    <t>ΒΑΤΑΜΙΔΟΥ</t>
  </si>
  <si>
    <t>ΑΖ358180</t>
  </si>
  <si>
    <t>ΤΣΙΤΣΟΓΛΟΥ</t>
  </si>
  <si>
    <t>ΑΜ284600</t>
  </si>
  <si>
    <t>ΤΣΙΑΜΠΑΖΗ</t>
  </si>
  <si>
    <t>ΔΙΑΜΑΝΤΟΥΛΑ</t>
  </si>
  <si>
    <t>ΑΖ332972</t>
  </si>
  <si>
    <t>ΜΩΥΣΙΑΔΟΥ</t>
  </si>
  <si>
    <t>ΑΓΚΟΡΤΖΑ</t>
  </si>
  <si>
    <t>ΓΕΡΑΚΙΝΑ</t>
  </si>
  <si>
    <t>ΑΗ338746</t>
  </si>
  <si>
    <t>ΣΑΚΚΑΣ</t>
  </si>
  <si>
    <t>ΑΜ308822</t>
  </si>
  <si>
    <t>681,5</t>
  </si>
  <si>
    <t>702-703-701-705-704</t>
  </si>
  <si>
    <t>ΜΟΣΧΟΠΟΥΛΟΣ</t>
  </si>
  <si>
    <t>ΑΗ806132</t>
  </si>
  <si>
    <t>ΤΣΑΡΟΥΧΑΣ</t>
  </si>
  <si>
    <t>Χ992743</t>
  </si>
  <si>
    <t>ΚΟΠΑΝΑΣ</t>
  </si>
  <si>
    <t>Σ911026</t>
  </si>
  <si>
    <t>ΣΤΥΛΙΑΡΑΣ</t>
  </si>
  <si>
    <t>ΑΒ079926</t>
  </si>
  <si>
    <t>ΠΑΡΑΚΕΥΗ</t>
  </si>
  <si>
    <t>Τ480123</t>
  </si>
  <si>
    <t>ΧΑΡΙΣΗΣ</t>
  </si>
  <si>
    <t>ΑΗ824758</t>
  </si>
  <si>
    <t>651,5</t>
  </si>
  <si>
    <t>ΑΒ389711</t>
  </si>
  <si>
    <t>647,5</t>
  </si>
  <si>
    <t>ΤΣΑΚΙΡΗΣ</t>
  </si>
  <si>
    <t>ΑΜ613279</t>
  </si>
  <si>
    <t>645,7</t>
  </si>
  <si>
    <t>Τ259098</t>
  </si>
  <si>
    <t>ΑΙ408176</t>
  </si>
  <si>
    <t>ΚΕΒΡΕΚΙΔΟΥ</t>
  </si>
  <si>
    <t>Α Ι 337671</t>
  </si>
  <si>
    <t>Ρεντζεπη</t>
  </si>
  <si>
    <t>Ελενη</t>
  </si>
  <si>
    <t>Γεωργιος</t>
  </si>
  <si>
    <t>ΑΑ303603</t>
  </si>
  <si>
    <t>ΓΕΩΡΓΟΥΒΙΑ</t>
  </si>
  <si>
    <t>ΑΜ282015</t>
  </si>
  <si>
    <t>533,5</t>
  </si>
  <si>
    <t>617,5</t>
  </si>
  <si>
    <t>ΘΕΟΔΩΡΟΠΟΥΛΟΣ</t>
  </si>
  <si>
    <t>Χ776652</t>
  </si>
  <si>
    <t>ΚΑΡΥΠΙΔΗΣ</t>
  </si>
  <si>
    <t>ΑΚ904768</t>
  </si>
  <si>
    <t>Νάτση</t>
  </si>
  <si>
    <t>Ελεωνόρα</t>
  </si>
  <si>
    <t>Βασίλειος</t>
  </si>
  <si>
    <t>ΑΚ299338</t>
  </si>
  <si>
    <t>ΦΥΣΕΚΗ</t>
  </si>
  <si>
    <t>ΑΜ861078</t>
  </si>
  <si>
    <t>ΑΚ375370</t>
  </si>
  <si>
    <t>ΓΙΑΝΝΑΚΕΡΗ</t>
  </si>
  <si>
    <t>ΠΑΡΜΕΝΙΩΝ</t>
  </si>
  <si>
    <t>ΑΗ300352</t>
  </si>
  <si>
    <t>ΑΚ408280</t>
  </si>
  <si>
    <t>489,5</t>
  </si>
  <si>
    <t>594,5</t>
  </si>
  <si>
    <t>ΒΑΡΔΑΝΙΚΑ</t>
  </si>
  <si>
    <t>Φ313334</t>
  </si>
  <si>
    <t>ΟΥΡΓΑΝΤΖΙΔΟΥ</t>
  </si>
  <si>
    <t xml:space="preserve">ΑΡΤΕΜΙΣ </t>
  </si>
  <si>
    <t>ΑΙ712815</t>
  </si>
  <si>
    <t>ΛΟΥΤΡΟΥΚΗ</t>
  </si>
  <si>
    <t>ΑΕ760559</t>
  </si>
  <si>
    <t>544,5</t>
  </si>
  <si>
    <t>572,5</t>
  </si>
  <si>
    <t>ΝΤΑΣΤΑΜΑΝΗ</t>
  </si>
  <si>
    <t>ΑΖ237731</t>
  </si>
  <si>
    <t>566,5</t>
  </si>
  <si>
    <t>ΧΡΙΣΤΟΠΟΥΛΟΥ</t>
  </si>
  <si>
    <t>ΑΕ745222</t>
  </si>
  <si>
    <t>ΠΑΝΤΕΛΗ</t>
  </si>
  <si>
    <t>ΑΒ170023</t>
  </si>
  <si>
    <t>ΣΙΩΠΙΔΟΥ</t>
  </si>
  <si>
    <t>Ρ155085</t>
  </si>
  <si>
    <t>ΑΗ167470</t>
  </si>
  <si>
    <t>ΚΟΥΜΠΑΝΙΤΣΑ</t>
  </si>
  <si>
    <t>Χ248522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</si>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</sst>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8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3199</v>
      </c>
      <c r="C8" t="s">
        <v>13</v>
      </c>
      <c r="D8" t="s">
        <v>14</v>
      </c>
      <c r="E8" t="s">
        <v>15</v>
      </c>
      <c r="F8" t="s">
        <v>16</v>
      </c>
      <c r="G8" t="str">
        <f>"201406006881"</f>
        <v>201406006881</v>
      </c>
      <c r="H8" t="s">
        <v>17</v>
      </c>
      <c r="I8">
        <v>150</v>
      </c>
      <c r="J8">
        <v>70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703</v>
      </c>
    </row>
    <row r="10" spans="1:23" x14ac:dyDescent="0.25">
      <c r="A10">
        <v>2</v>
      </c>
      <c r="B10">
        <v>1555</v>
      </c>
      <c r="C10" t="s">
        <v>19</v>
      </c>
      <c r="D10" t="s">
        <v>20</v>
      </c>
      <c r="E10" t="s">
        <v>21</v>
      </c>
      <c r="F10" t="s">
        <v>22</v>
      </c>
      <c r="G10" t="str">
        <f>"200803000858"</f>
        <v>200803000858</v>
      </c>
      <c r="H10" t="s">
        <v>17</v>
      </c>
      <c r="I10">
        <v>150</v>
      </c>
      <c r="J10">
        <v>70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18</v>
      </c>
    </row>
    <row r="11" spans="1:23" x14ac:dyDescent="0.25">
      <c r="H11">
        <v>703</v>
      </c>
    </row>
    <row r="12" spans="1:23" x14ac:dyDescent="0.25">
      <c r="A12">
        <v>3</v>
      </c>
      <c r="B12">
        <v>53</v>
      </c>
      <c r="C12" t="s">
        <v>23</v>
      </c>
      <c r="D12" t="s">
        <v>24</v>
      </c>
      <c r="E12" t="s">
        <v>15</v>
      </c>
      <c r="F12" t="s">
        <v>25</v>
      </c>
      <c r="G12" t="str">
        <f>"200712003419"</f>
        <v>200712003419</v>
      </c>
      <c r="H12">
        <v>1100</v>
      </c>
      <c r="I12">
        <v>150</v>
      </c>
      <c r="J12">
        <v>30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>
        <v>1868</v>
      </c>
    </row>
    <row r="13" spans="1:23" x14ac:dyDescent="0.25">
      <c r="H13" t="s">
        <v>26</v>
      </c>
    </row>
    <row r="14" spans="1:23" x14ac:dyDescent="0.25">
      <c r="A14">
        <v>4</v>
      </c>
      <c r="B14">
        <v>2381</v>
      </c>
      <c r="C14" t="s">
        <v>27</v>
      </c>
      <c r="D14" t="s">
        <v>28</v>
      </c>
      <c r="E14" t="s">
        <v>29</v>
      </c>
      <c r="F14" t="s">
        <v>30</v>
      </c>
      <c r="G14" t="str">
        <f>"201511013857"</f>
        <v>201511013857</v>
      </c>
      <c r="H14">
        <v>1100</v>
      </c>
      <c r="I14">
        <v>150</v>
      </c>
      <c r="J14">
        <v>30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>
        <v>1868</v>
      </c>
    </row>
    <row r="15" spans="1:23" x14ac:dyDescent="0.25">
      <c r="H15">
        <v>703</v>
      </c>
    </row>
    <row r="16" spans="1:23" x14ac:dyDescent="0.25">
      <c r="A16">
        <v>5</v>
      </c>
      <c r="B16">
        <v>1066</v>
      </c>
      <c r="C16" t="s">
        <v>31</v>
      </c>
      <c r="D16" t="s">
        <v>32</v>
      </c>
      <c r="E16" t="s">
        <v>33</v>
      </c>
      <c r="F16" t="s">
        <v>34</v>
      </c>
      <c r="G16" t="str">
        <f>"201511040915"</f>
        <v>201511040915</v>
      </c>
      <c r="H16">
        <v>1100</v>
      </c>
      <c r="I16">
        <v>150</v>
      </c>
      <c r="J16">
        <v>30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>
        <v>1868</v>
      </c>
    </row>
    <row r="17" spans="1:23" x14ac:dyDescent="0.25">
      <c r="H17">
        <v>703</v>
      </c>
    </row>
    <row r="18" spans="1:23" x14ac:dyDescent="0.25">
      <c r="A18">
        <v>6</v>
      </c>
      <c r="B18">
        <v>119</v>
      </c>
      <c r="C18" t="s">
        <v>35</v>
      </c>
      <c r="D18" t="s">
        <v>36</v>
      </c>
      <c r="E18" t="s">
        <v>37</v>
      </c>
      <c r="F18" t="s">
        <v>38</v>
      </c>
      <c r="G18" t="str">
        <f>"201402000514"</f>
        <v>201402000514</v>
      </c>
      <c r="H18">
        <v>1100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>
        <v>1868</v>
      </c>
    </row>
    <row r="19" spans="1:23" x14ac:dyDescent="0.25">
      <c r="H19" t="s">
        <v>26</v>
      </c>
    </row>
    <row r="20" spans="1:23" x14ac:dyDescent="0.25">
      <c r="A20">
        <v>7</v>
      </c>
      <c r="B20">
        <v>1050</v>
      </c>
      <c r="C20" t="s">
        <v>39</v>
      </c>
      <c r="D20" t="s">
        <v>40</v>
      </c>
      <c r="E20" t="s">
        <v>41</v>
      </c>
      <c r="F20" t="s">
        <v>42</v>
      </c>
      <c r="G20" t="str">
        <f>"201402001939"</f>
        <v>201402001939</v>
      </c>
      <c r="H20" t="s">
        <v>43</v>
      </c>
      <c r="I20">
        <v>150</v>
      </c>
      <c r="J20">
        <v>50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 t="s">
        <v>44</v>
      </c>
    </row>
    <row r="21" spans="1:23" x14ac:dyDescent="0.25">
      <c r="H21">
        <v>703</v>
      </c>
    </row>
    <row r="22" spans="1:23" x14ac:dyDescent="0.25">
      <c r="A22">
        <v>8</v>
      </c>
      <c r="B22">
        <v>133</v>
      </c>
      <c r="C22" t="s">
        <v>45</v>
      </c>
      <c r="D22" t="s">
        <v>46</v>
      </c>
      <c r="E22" t="s">
        <v>47</v>
      </c>
      <c r="F22" t="s">
        <v>48</v>
      </c>
      <c r="G22" t="str">
        <f>"201406001610"</f>
        <v>201406001610</v>
      </c>
      <c r="H22" t="s">
        <v>49</v>
      </c>
      <c r="I22">
        <v>0</v>
      </c>
      <c r="J22">
        <v>70</v>
      </c>
      <c r="K22">
        <v>50</v>
      </c>
      <c r="L22">
        <v>0</v>
      </c>
      <c r="M22">
        <v>50</v>
      </c>
      <c r="N22">
        <v>50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50</v>
      </c>
    </row>
    <row r="23" spans="1:23" x14ac:dyDescent="0.25">
      <c r="H23" t="s">
        <v>26</v>
      </c>
    </row>
    <row r="24" spans="1:23" x14ac:dyDescent="0.25">
      <c r="A24">
        <v>9</v>
      </c>
      <c r="B24">
        <v>2358</v>
      </c>
      <c r="C24" t="s">
        <v>51</v>
      </c>
      <c r="D24" t="s">
        <v>52</v>
      </c>
      <c r="E24" t="s">
        <v>53</v>
      </c>
      <c r="F24" t="s">
        <v>54</v>
      </c>
      <c r="G24" t="str">
        <f>"200801002591"</f>
        <v>200801002591</v>
      </c>
      <c r="H24" t="s">
        <v>17</v>
      </c>
      <c r="I24">
        <v>150</v>
      </c>
      <c r="J24">
        <v>30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0</v>
      </c>
      <c r="W24" t="s">
        <v>55</v>
      </c>
    </row>
    <row r="25" spans="1:23" x14ac:dyDescent="0.25">
      <c r="H25">
        <v>703</v>
      </c>
    </row>
    <row r="26" spans="1:23" x14ac:dyDescent="0.25">
      <c r="A26">
        <v>10</v>
      </c>
      <c r="B26">
        <v>2349</v>
      </c>
      <c r="C26" t="s">
        <v>56</v>
      </c>
      <c r="D26" t="s">
        <v>57</v>
      </c>
      <c r="E26" t="s">
        <v>58</v>
      </c>
      <c r="F26" t="s">
        <v>59</v>
      </c>
      <c r="G26" t="str">
        <f>"201402008619"</f>
        <v>201402008619</v>
      </c>
      <c r="H26" t="s">
        <v>17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0</v>
      </c>
      <c r="W26" t="s">
        <v>55</v>
      </c>
    </row>
    <row r="27" spans="1:23" x14ac:dyDescent="0.25">
      <c r="H27">
        <v>703</v>
      </c>
    </row>
    <row r="28" spans="1:23" x14ac:dyDescent="0.25">
      <c r="A28">
        <v>11</v>
      </c>
      <c r="B28">
        <v>1600</v>
      </c>
      <c r="C28" t="s">
        <v>60</v>
      </c>
      <c r="D28" t="s">
        <v>61</v>
      </c>
      <c r="E28" t="s">
        <v>62</v>
      </c>
      <c r="F28" t="s">
        <v>63</v>
      </c>
      <c r="G28" t="str">
        <f>"201511043298"</f>
        <v>201511043298</v>
      </c>
      <c r="H28" t="s">
        <v>64</v>
      </c>
      <c r="I28">
        <v>150</v>
      </c>
      <c r="J28">
        <v>30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 t="s">
        <v>65</v>
      </c>
    </row>
    <row r="29" spans="1:23" x14ac:dyDescent="0.25">
      <c r="H29">
        <v>703</v>
      </c>
    </row>
    <row r="30" spans="1:23" x14ac:dyDescent="0.25">
      <c r="A30">
        <v>12</v>
      </c>
      <c r="B30">
        <v>2588</v>
      </c>
      <c r="C30" t="s">
        <v>66</v>
      </c>
      <c r="D30" t="s">
        <v>67</v>
      </c>
      <c r="E30" t="s">
        <v>68</v>
      </c>
      <c r="F30" t="s">
        <v>69</v>
      </c>
      <c r="G30" t="str">
        <f>"201601000324"</f>
        <v>201601000324</v>
      </c>
      <c r="H30" t="s">
        <v>64</v>
      </c>
      <c r="I30">
        <v>150</v>
      </c>
      <c r="J30">
        <v>30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2</v>
      </c>
      <c r="W30" t="s">
        <v>65</v>
      </c>
    </row>
    <row r="31" spans="1:23" x14ac:dyDescent="0.25">
      <c r="H31" t="s">
        <v>70</v>
      </c>
    </row>
    <row r="32" spans="1:23" x14ac:dyDescent="0.25">
      <c r="A32">
        <v>13</v>
      </c>
      <c r="B32">
        <v>1717</v>
      </c>
      <c r="C32" t="s">
        <v>71</v>
      </c>
      <c r="D32" t="s">
        <v>53</v>
      </c>
      <c r="E32" t="s">
        <v>58</v>
      </c>
      <c r="F32" t="s">
        <v>72</v>
      </c>
      <c r="G32" t="str">
        <f>"201406008168"</f>
        <v>201406008168</v>
      </c>
      <c r="H32" t="s">
        <v>73</v>
      </c>
      <c r="I32">
        <v>150</v>
      </c>
      <c r="J32">
        <v>70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 t="s">
        <v>74</v>
      </c>
    </row>
    <row r="33" spans="1:23" x14ac:dyDescent="0.25">
      <c r="H33" t="s">
        <v>26</v>
      </c>
    </row>
    <row r="34" spans="1:23" x14ac:dyDescent="0.25">
      <c r="A34">
        <v>14</v>
      </c>
      <c r="B34">
        <v>992</v>
      </c>
      <c r="C34" t="s">
        <v>75</v>
      </c>
      <c r="D34" t="s">
        <v>62</v>
      </c>
      <c r="E34" t="s">
        <v>76</v>
      </c>
      <c r="F34" t="s">
        <v>77</v>
      </c>
      <c r="G34" t="str">
        <f>"201410011371"</f>
        <v>201410011371</v>
      </c>
      <c r="H34" t="s">
        <v>73</v>
      </c>
      <c r="I34">
        <v>150</v>
      </c>
      <c r="J34">
        <v>70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84</v>
      </c>
      <c r="S34">
        <v>588</v>
      </c>
      <c r="T34">
        <v>0</v>
      </c>
      <c r="V34">
        <v>0</v>
      </c>
      <c r="W34" t="s">
        <v>74</v>
      </c>
    </row>
    <row r="35" spans="1:23" x14ac:dyDescent="0.25">
      <c r="H35" t="s">
        <v>26</v>
      </c>
    </row>
    <row r="36" spans="1:23" x14ac:dyDescent="0.25">
      <c r="A36">
        <v>15</v>
      </c>
      <c r="B36">
        <v>12</v>
      </c>
      <c r="C36" t="s">
        <v>78</v>
      </c>
      <c r="D36" t="s">
        <v>46</v>
      </c>
      <c r="E36" t="s">
        <v>79</v>
      </c>
      <c r="F36" t="s">
        <v>80</v>
      </c>
      <c r="G36" t="str">
        <f>"201401002656"</f>
        <v>201401002656</v>
      </c>
      <c r="H36" t="s">
        <v>81</v>
      </c>
      <c r="I36">
        <v>150</v>
      </c>
      <c r="J36">
        <v>70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 t="s">
        <v>82</v>
      </c>
    </row>
    <row r="37" spans="1:23" x14ac:dyDescent="0.25">
      <c r="H37">
        <v>703</v>
      </c>
    </row>
    <row r="38" spans="1:23" x14ac:dyDescent="0.25">
      <c r="A38">
        <v>16</v>
      </c>
      <c r="B38">
        <v>229</v>
      </c>
      <c r="C38" t="s">
        <v>83</v>
      </c>
      <c r="D38" t="s">
        <v>84</v>
      </c>
      <c r="E38" t="s">
        <v>33</v>
      </c>
      <c r="F38" t="s">
        <v>85</v>
      </c>
      <c r="G38" t="str">
        <f>"201406004123"</f>
        <v>201406004123</v>
      </c>
      <c r="H38">
        <v>1045</v>
      </c>
      <c r="I38">
        <v>150</v>
      </c>
      <c r="J38">
        <v>0</v>
      </c>
      <c r="K38">
        <v>0</v>
      </c>
      <c r="L38">
        <v>0</v>
      </c>
      <c r="M38">
        <v>0</v>
      </c>
      <c r="N38">
        <v>0</v>
      </c>
      <c r="O38">
        <v>70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>
        <v>1853</v>
      </c>
    </row>
    <row r="39" spans="1:23" x14ac:dyDescent="0.25">
      <c r="H39">
        <v>703</v>
      </c>
    </row>
    <row r="40" spans="1:23" x14ac:dyDescent="0.25">
      <c r="A40">
        <v>17</v>
      </c>
      <c r="B40">
        <v>2337</v>
      </c>
      <c r="C40" t="s">
        <v>86</v>
      </c>
      <c r="D40" t="s">
        <v>87</v>
      </c>
      <c r="E40" t="s">
        <v>88</v>
      </c>
      <c r="F40" t="s">
        <v>89</v>
      </c>
      <c r="G40" t="str">
        <f>"200712001468"</f>
        <v>200712001468</v>
      </c>
      <c r="H40">
        <v>1045</v>
      </c>
      <c r="I40">
        <v>150</v>
      </c>
      <c r="J40">
        <v>70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>
        <v>1853</v>
      </c>
    </row>
    <row r="41" spans="1:23" x14ac:dyDescent="0.25">
      <c r="H41" t="s">
        <v>70</v>
      </c>
    </row>
    <row r="42" spans="1:23" x14ac:dyDescent="0.25">
      <c r="A42">
        <v>18</v>
      </c>
      <c r="B42">
        <v>3207</v>
      </c>
      <c r="C42" t="s">
        <v>90</v>
      </c>
      <c r="D42" t="s">
        <v>67</v>
      </c>
      <c r="E42" t="s">
        <v>91</v>
      </c>
      <c r="F42" t="s">
        <v>92</v>
      </c>
      <c r="G42" t="str">
        <f>"00151895"</f>
        <v>00151895</v>
      </c>
      <c r="H42" t="s">
        <v>93</v>
      </c>
      <c r="I42">
        <v>150</v>
      </c>
      <c r="J42">
        <v>30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2</v>
      </c>
      <c r="W42" t="s">
        <v>94</v>
      </c>
    </row>
    <row r="43" spans="1:23" x14ac:dyDescent="0.25">
      <c r="H43">
        <v>703</v>
      </c>
    </row>
    <row r="44" spans="1:23" x14ac:dyDescent="0.25">
      <c r="A44">
        <v>19</v>
      </c>
      <c r="B44">
        <v>664</v>
      </c>
      <c r="C44" t="s">
        <v>95</v>
      </c>
      <c r="D44" t="s">
        <v>96</v>
      </c>
      <c r="E44" t="s">
        <v>91</v>
      </c>
      <c r="F44" t="s">
        <v>97</v>
      </c>
      <c r="G44" t="str">
        <f>"201401001190"</f>
        <v>201401001190</v>
      </c>
      <c r="H44" t="s">
        <v>93</v>
      </c>
      <c r="I44">
        <v>150</v>
      </c>
      <c r="J44">
        <v>30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0</v>
      </c>
      <c r="W44" t="s">
        <v>94</v>
      </c>
    </row>
    <row r="45" spans="1:23" x14ac:dyDescent="0.25">
      <c r="H45">
        <v>703</v>
      </c>
    </row>
    <row r="46" spans="1:23" x14ac:dyDescent="0.25">
      <c r="A46">
        <v>20</v>
      </c>
      <c r="B46">
        <v>1989</v>
      </c>
      <c r="C46" t="s">
        <v>98</v>
      </c>
      <c r="D46" t="s">
        <v>32</v>
      </c>
      <c r="E46" t="s">
        <v>99</v>
      </c>
      <c r="F46" t="s">
        <v>100</v>
      </c>
      <c r="G46" t="str">
        <f>"00224565"</f>
        <v>00224565</v>
      </c>
      <c r="H46" t="s">
        <v>101</v>
      </c>
      <c r="I46">
        <v>150</v>
      </c>
      <c r="J46">
        <v>50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84</v>
      </c>
      <c r="S46">
        <v>588</v>
      </c>
      <c r="T46">
        <v>0</v>
      </c>
      <c r="V46">
        <v>0</v>
      </c>
      <c r="W46" t="s">
        <v>102</v>
      </c>
    </row>
    <row r="47" spans="1:23" x14ac:dyDescent="0.25">
      <c r="H47">
        <v>703</v>
      </c>
    </row>
    <row r="48" spans="1:23" x14ac:dyDescent="0.25">
      <c r="A48">
        <v>21</v>
      </c>
      <c r="B48">
        <v>3130</v>
      </c>
      <c r="C48" t="s">
        <v>103</v>
      </c>
      <c r="D48" t="s">
        <v>104</v>
      </c>
      <c r="E48" t="s">
        <v>105</v>
      </c>
      <c r="F48" t="s">
        <v>106</v>
      </c>
      <c r="G48" t="str">
        <f>"00085290"</f>
        <v>00085290</v>
      </c>
      <c r="H48" t="s">
        <v>73</v>
      </c>
      <c r="I48">
        <v>150</v>
      </c>
      <c r="J48">
        <v>30</v>
      </c>
      <c r="K48">
        <v>30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84</v>
      </c>
      <c r="S48">
        <v>588</v>
      </c>
      <c r="T48">
        <v>0</v>
      </c>
      <c r="V48">
        <v>0</v>
      </c>
      <c r="W48" t="s">
        <v>107</v>
      </c>
    </row>
    <row r="49" spans="1:23" x14ac:dyDescent="0.25">
      <c r="H49" t="s">
        <v>26</v>
      </c>
    </row>
    <row r="50" spans="1:23" x14ac:dyDescent="0.25">
      <c r="A50">
        <v>22</v>
      </c>
      <c r="B50">
        <v>2376</v>
      </c>
      <c r="C50" t="s">
        <v>108</v>
      </c>
      <c r="D50" t="s">
        <v>52</v>
      </c>
      <c r="E50" t="s">
        <v>109</v>
      </c>
      <c r="F50" t="s">
        <v>110</v>
      </c>
      <c r="G50" t="str">
        <f>"00139839"</f>
        <v>00139839</v>
      </c>
      <c r="H50">
        <v>990</v>
      </c>
      <c r="I50">
        <v>150</v>
      </c>
      <c r="J50">
        <v>70</v>
      </c>
      <c r="K50">
        <v>0</v>
      </c>
      <c r="L50">
        <v>0</v>
      </c>
      <c r="M50">
        <v>50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0</v>
      </c>
      <c r="W50">
        <v>1848</v>
      </c>
    </row>
    <row r="51" spans="1:23" x14ac:dyDescent="0.25">
      <c r="H51" t="s">
        <v>70</v>
      </c>
    </row>
    <row r="52" spans="1:23" x14ac:dyDescent="0.25">
      <c r="A52">
        <v>23</v>
      </c>
      <c r="B52">
        <v>1161</v>
      </c>
      <c r="C52" t="s">
        <v>111</v>
      </c>
      <c r="D52" t="s">
        <v>112</v>
      </c>
      <c r="E52" t="s">
        <v>113</v>
      </c>
      <c r="F52" t="s">
        <v>114</v>
      </c>
      <c r="G52" t="str">
        <f>"00159073"</f>
        <v>00159073</v>
      </c>
      <c r="H52" t="s">
        <v>43</v>
      </c>
      <c r="I52">
        <v>150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 t="s">
        <v>115</v>
      </c>
    </row>
    <row r="53" spans="1:23" x14ac:dyDescent="0.25">
      <c r="H53">
        <v>703</v>
      </c>
    </row>
    <row r="54" spans="1:23" x14ac:dyDescent="0.25">
      <c r="A54">
        <v>24</v>
      </c>
      <c r="B54">
        <v>2583</v>
      </c>
      <c r="C54" t="s">
        <v>116</v>
      </c>
      <c r="D54" t="s">
        <v>117</v>
      </c>
      <c r="E54" t="s">
        <v>53</v>
      </c>
      <c r="F54" t="s">
        <v>118</v>
      </c>
      <c r="G54" t="str">
        <f>"00170199"</f>
        <v>00170199</v>
      </c>
      <c r="H54">
        <v>1045</v>
      </c>
      <c r="I54">
        <v>150</v>
      </c>
      <c r="J54">
        <v>30</v>
      </c>
      <c r="K54">
        <v>30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0</v>
      </c>
      <c r="W54">
        <v>1843</v>
      </c>
    </row>
    <row r="55" spans="1:23" x14ac:dyDescent="0.25">
      <c r="H55">
        <v>703</v>
      </c>
    </row>
    <row r="56" spans="1:23" x14ac:dyDescent="0.25">
      <c r="A56">
        <v>25</v>
      </c>
      <c r="B56">
        <v>1891</v>
      </c>
      <c r="C56" t="s">
        <v>119</v>
      </c>
      <c r="D56" t="s">
        <v>120</v>
      </c>
      <c r="E56" t="s">
        <v>53</v>
      </c>
      <c r="F56" t="s">
        <v>121</v>
      </c>
      <c r="G56" t="str">
        <f>"201511032223"</f>
        <v>201511032223</v>
      </c>
      <c r="H56" t="s">
        <v>49</v>
      </c>
      <c r="I56">
        <v>150</v>
      </c>
      <c r="J56">
        <v>50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 t="s">
        <v>122</v>
      </c>
    </row>
    <row r="57" spans="1:23" x14ac:dyDescent="0.25">
      <c r="H57">
        <v>703</v>
      </c>
    </row>
    <row r="58" spans="1:23" x14ac:dyDescent="0.25">
      <c r="A58">
        <v>26</v>
      </c>
      <c r="B58">
        <v>2340</v>
      </c>
      <c r="C58" t="s">
        <v>123</v>
      </c>
      <c r="D58" t="s">
        <v>124</v>
      </c>
      <c r="E58" t="s">
        <v>125</v>
      </c>
      <c r="F58" t="s">
        <v>126</v>
      </c>
      <c r="G58" t="str">
        <f>"00095480"</f>
        <v>00095480</v>
      </c>
      <c r="H58" t="s">
        <v>81</v>
      </c>
      <c r="I58">
        <v>150</v>
      </c>
      <c r="J58">
        <v>0</v>
      </c>
      <c r="K58">
        <v>0</v>
      </c>
      <c r="L58">
        <v>0</v>
      </c>
      <c r="M58">
        <v>0</v>
      </c>
      <c r="N58">
        <v>0</v>
      </c>
      <c r="O58">
        <v>70</v>
      </c>
      <c r="P58">
        <v>0</v>
      </c>
      <c r="Q58">
        <v>0</v>
      </c>
      <c r="R58">
        <v>82</v>
      </c>
      <c r="S58">
        <v>574</v>
      </c>
      <c r="T58">
        <v>0</v>
      </c>
      <c r="V58">
        <v>0</v>
      </c>
      <c r="W58" t="s">
        <v>127</v>
      </c>
    </row>
    <row r="59" spans="1:23" x14ac:dyDescent="0.25">
      <c r="H59" t="s">
        <v>26</v>
      </c>
    </row>
    <row r="60" spans="1:23" x14ac:dyDescent="0.25">
      <c r="A60">
        <v>27</v>
      </c>
      <c r="B60">
        <v>3052</v>
      </c>
      <c r="C60" t="s">
        <v>128</v>
      </c>
      <c r="D60" t="s">
        <v>15</v>
      </c>
      <c r="E60" t="s">
        <v>129</v>
      </c>
      <c r="F60" t="s">
        <v>130</v>
      </c>
      <c r="G60" t="str">
        <f>"201401000503"</f>
        <v>201401000503</v>
      </c>
      <c r="H60" t="s">
        <v>131</v>
      </c>
      <c r="I60">
        <v>150</v>
      </c>
      <c r="J60">
        <v>50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 t="s">
        <v>132</v>
      </c>
    </row>
    <row r="61" spans="1:23" x14ac:dyDescent="0.25">
      <c r="H61">
        <v>703</v>
      </c>
    </row>
    <row r="62" spans="1:23" x14ac:dyDescent="0.25">
      <c r="A62">
        <v>28</v>
      </c>
      <c r="B62">
        <v>642</v>
      </c>
      <c r="C62" t="s">
        <v>133</v>
      </c>
      <c r="D62" t="s">
        <v>134</v>
      </c>
      <c r="E62" t="s">
        <v>135</v>
      </c>
      <c r="F62" t="s">
        <v>136</v>
      </c>
      <c r="G62" t="str">
        <f>"201510002023"</f>
        <v>201510002023</v>
      </c>
      <c r="H62" t="s">
        <v>137</v>
      </c>
      <c r="I62">
        <v>150</v>
      </c>
      <c r="J62">
        <v>30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84</v>
      </c>
      <c r="S62">
        <v>588</v>
      </c>
      <c r="T62">
        <v>0</v>
      </c>
      <c r="V62">
        <v>1</v>
      </c>
      <c r="W62" t="s">
        <v>138</v>
      </c>
    </row>
    <row r="63" spans="1:23" x14ac:dyDescent="0.25">
      <c r="H63">
        <v>703</v>
      </c>
    </row>
    <row r="64" spans="1:23" x14ac:dyDescent="0.25">
      <c r="A64">
        <v>29</v>
      </c>
      <c r="B64">
        <v>2065</v>
      </c>
      <c r="C64" t="s">
        <v>139</v>
      </c>
      <c r="D64" t="s">
        <v>140</v>
      </c>
      <c r="E64" t="s">
        <v>91</v>
      </c>
      <c r="F64" t="s">
        <v>141</v>
      </c>
      <c r="G64" t="str">
        <f>"200801002929"</f>
        <v>200801002929</v>
      </c>
      <c r="H64" t="s">
        <v>142</v>
      </c>
      <c r="I64">
        <v>0</v>
      </c>
      <c r="J64">
        <v>70</v>
      </c>
      <c r="K64">
        <v>50</v>
      </c>
      <c r="L64">
        <v>0</v>
      </c>
      <c r="M64">
        <v>0</v>
      </c>
      <c r="N64">
        <v>70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 t="s">
        <v>143</v>
      </c>
    </row>
    <row r="65" spans="1:23" x14ac:dyDescent="0.25">
      <c r="H65" t="s">
        <v>70</v>
      </c>
    </row>
    <row r="66" spans="1:23" x14ac:dyDescent="0.25">
      <c r="A66">
        <v>30</v>
      </c>
      <c r="B66">
        <v>2179</v>
      </c>
      <c r="C66" t="s">
        <v>144</v>
      </c>
      <c r="D66" t="s">
        <v>15</v>
      </c>
      <c r="E66" t="s">
        <v>21</v>
      </c>
      <c r="F66" t="s">
        <v>145</v>
      </c>
      <c r="G66" t="str">
        <f>"201510001640"</f>
        <v>201510001640</v>
      </c>
      <c r="H66">
        <v>1100</v>
      </c>
      <c r="I66">
        <v>150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84</v>
      </c>
      <c r="S66">
        <v>588</v>
      </c>
      <c r="T66">
        <v>0</v>
      </c>
      <c r="V66">
        <v>2</v>
      </c>
      <c r="W66">
        <v>1838</v>
      </c>
    </row>
    <row r="67" spans="1:23" x14ac:dyDescent="0.25">
      <c r="H67">
        <v>703</v>
      </c>
    </row>
    <row r="68" spans="1:23" x14ac:dyDescent="0.25">
      <c r="A68">
        <v>31</v>
      </c>
      <c r="B68">
        <v>2703</v>
      </c>
      <c r="C68" t="s">
        <v>146</v>
      </c>
      <c r="D68" t="s">
        <v>67</v>
      </c>
      <c r="E68" t="s">
        <v>109</v>
      </c>
      <c r="F68" t="s">
        <v>147</v>
      </c>
      <c r="G68" t="str">
        <f>"00193397"</f>
        <v>00193397</v>
      </c>
      <c r="H68">
        <v>1100</v>
      </c>
      <c r="I68">
        <v>150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84</v>
      </c>
      <c r="S68">
        <v>588</v>
      </c>
      <c r="T68">
        <v>0</v>
      </c>
      <c r="V68">
        <v>2</v>
      </c>
      <c r="W68">
        <v>1838</v>
      </c>
    </row>
    <row r="69" spans="1:23" x14ac:dyDescent="0.25">
      <c r="H69">
        <v>703</v>
      </c>
    </row>
    <row r="70" spans="1:23" x14ac:dyDescent="0.25">
      <c r="A70">
        <v>32</v>
      </c>
      <c r="B70">
        <v>2130</v>
      </c>
      <c r="C70" t="s">
        <v>148</v>
      </c>
      <c r="D70" t="s">
        <v>46</v>
      </c>
      <c r="E70" t="s">
        <v>88</v>
      </c>
      <c r="F70" t="s">
        <v>149</v>
      </c>
      <c r="G70" t="str">
        <f>"00068368"</f>
        <v>00068368</v>
      </c>
      <c r="H70">
        <v>1100</v>
      </c>
      <c r="I70">
        <v>150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84</v>
      </c>
      <c r="S70">
        <v>588</v>
      </c>
      <c r="T70">
        <v>0</v>
      </c>
      <c r="V70">
        <v>2</v>
      </c>
      <c r="W70">
        <v>1838</v>
      </c>
    </row>
    <row r="71" spans="1:23" x14ac:dyDescent="0.25">
      <c r="H71">
        <v>703</v>
      </c>
    </row>
    <row r="72" spans="1:23" x14ac:dyDescent="0.25">
      <c r="A72">
        <v>33</v>
      </c>
      <c r="B72">
        <v>2005</v>
      </c>
      <c r="C72" t="s">
        <v>150</v>
      </c>
      <c r="D72" t="s">
        <v>67</v>
      </c>
      <c r="E72" t="s">
        <v>76</v>
      </c>
      <c r="F72" t="s">
        <v>151</v>
      </c>
      <c r="G72" t="str">
        <f>"00193234"</f>
        <v>00193234</v>
      </c>
      <c r="H72">
        <v>1100</v>
      </c>
      <c r="I72">
        <v>150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0</v>
      </c>
      <c r="W72">
        <v>1838</v>
      </c>
    </row>
    <row r="73" spans="1:23" x14ac:dyDescent="0.25">
      <c r="H73">
        <v>703</v>
      </c>
    </row>
    <row r="74" spans="1:23" x14ac:dyDescent="0.25">
      <c r="A74">
        <v>34</v>
      </c>
      <c r="B74">
        <v>670</v>
      </c>
      <c r="C74" t="s">
        <v>152</v>
      </c>
      <c r="D74" t="s">
        <v>36</v>
      </c>
      <c r="E74" t="s">
        <v>109</v>
      </c>
      <c r="F74" t="s">
        <v>153</v>
      </c>
      <c r="G74" t="str">
        <f>"00227774"</f>
        <v>00227774</v>
      </c>
      <c r="H74">
        <v>1100</v>
      </c>
      <c r="I74">
        <v>150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0</v>
      </c>
      <c r="W74">
        <v>1838</v>
      </c>
    </row>
    <row r="75" spans="1:23" x14ac:dyDescent="0.25">
      <c r="H75">
        <v>703</v>
      </c>
    </row>
    <row r="76" spans="1:23" x14ac:dyDescent="0.25">
      <c r="A76">
        <v>35</v>
      </c>
      <c r="B76">
        <v>3045</v>
      </c>
      <c r="C76" t="s">
        <v>154</v>
      </c>
      <c r="D76" t="s">
        <v>155</v>
      </c>
      <c r="E76" t="s">
        <v>156</v>
      </c>
      <c r="F76" t="s">
        <v>157</v>
      </c>
      <c r="G76" t="str">
        <f>"201406003505"</f>
        <v>201406003505</v>
      </c>
      <c r="H76" t="s">
        <v>158</v>
      </c>
      <c r="I76">
        <v>150</v>
      </c>
      <c r="J76">
        <v>30</v>
      </c>
      <c r="K76">
        <v>0</v>
      </c>
      <c r="L76">
        <v>50</v>
      </c>
      <c r="M76">
        <v>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2</v>
      </c>
      <c r="W76" t="s">
        <v>159</v>
      </c>
    </row>
    <row r="77" spans="1:23" x14ac:dyDescent="0.25">
      <c r="H77" t="s">
        <v>70</v>
      </c>
    </row>
    <row r="78" spans="1:23" x14ac:dyDescent="0.25">
      <c r="A78">
        <v>36</v>
      </c>
      <c r="B78">
        <v>1650</v>
      </c>
      <c r="C78" t="s">
        <v>160</v>
      </c>
      <c r="D78" t="s">
        <v>112</v>
      </c>
      <c r="E78" t="s">
        <v>99</v>
      </c>
      <c r="F78" t="s">
        <v>161</v>
      </c>
      <c r="G78" t="str">
        <f>"201405000128"</f>
        <v>201405000128</v>
      </c>
      <c r="H78">
        <v>1045</v>
      </c>
      <c r="I78">
        <v>150</v>
      </c>
      <c r="J78">
        <v>50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0</v>
      </c>
      <c r="W78">
        <v>1833</v>
      </c>
    </row>
    <row r="79" spans="1:23" x14ac:dyDescent="0.25">
      <c r="H79">
        <v>703</v>
      </c>
    </row>
    <row r="80" spans="1:23" x14ac:dyDescent="0.25">
      <c r="A80">
        <v>37</v>
      </c>
      <c r="B80">
        <v>1384</v>
      </c>
      <c r="C80" t="s">
        <v>162</v>
      </c>
      <c r="D80" t="s">
        <v>53</v>
      </c>
      <c r="E80" t="s">
        <v>76</v>
      </c>
      <c r="F80" t="s">
        <v>163</v>
      </c>
      <c r="G80" t="str">
        <f>"200801011634"</f>
        <v>200801011634</v>
      </c>
      <c r="H80" t="s">
        <v>17</v>
      </c>
      <c r="I80">
        <v>150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84</v>
      </c>
      <c r="S80">
        <v>588</v>
      </c>
      <c r="T80">
        <v>0</v>
      </c>
      <c r="V80">
        <v>0</v>
      </c>
      <c r="W80" t="s">
        <v>164</v>
      </c>
    </row>
    <row r="81" spans="1:23" x14ac:dyDescent="0.25">
      <c r="H81">
        <v>703</v>
      </c>
    </row>
    <row r="82" spans="1:23" x14ac:dyDescent="0.25">
      <c r="A82">
        <v>38</v>
      </c>
      <c r="B82">
        <v>2580</v>
      </c>
      <c r="C82" t="s">
        <v>165</v>
      </c>
      <c r="D82" t="s">
        <v>166</v>
      </c>
      <c r="E82" t="s">
        <v>167</v>
      </c>
      <c r="F82" t="s">
        <v>168</v>
      </c>
      <c r="G82" t="str">
        <f>"201512002585"</f>
        <v>201512002585</v>
      </c>
      <c r="H82" t="s">
        <v>17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0</v>
      </c>
      <c r="W82" t="s">
        <v>164</v>
      </c>
    </row>
    <row r="83" spans="1:23" x14ac:dyDescent="0.25">
      <c r="H83">
        <v>703</v>
      </c>
    </row>
    <row r="84" spans="1:23" x14ac:dyDescent="0.25">
      <c r="A84">
        <v>39</v>
      </c>
      <c r="B84">
        <v>2542</v>
      </c>
      <c r="C84" t="s">
        <v>169</v>
      </c>
      <c r="D84" t="s">
        <v>20</v>
      </c>
      <c r="E84" t="s">
        <v>170</v>
      </c>
      <c r="F84" t="s">
        <v>171</v>
      </c>
      <c r="G84" t="str">
        <f>"00224358"</f>
        <v>00224358</v>
      </c>
      <c r="H84" t="s">
        <v>17</v>
      </c>
      <c r="I84">
        <v>150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T84">
        <v>0</v>
      </c>
      <c r="V84">
        <v>0</v>
      </c>
      <c r="W84" t="s">
        <v>164</v>
      </c>
    </row>
    <row r="85" spans="1:23" x14ac:dyDescent="0.25">
      <c r="H85">
        <v>703</v>
      </c>
    </row>
    <row r="86" spans="1:23" x14ac:dyDescent="0.25">
      <c r="A86">
        <v>40</v>
      </c>
      <c r="B86">
        <v>1144</v>
      </c>
      <c r="C86" t="s">
        <v>172</v>
      </c>
      <c r="D86" t="s">
        <v>20</v>
      </c>
      <c r="E86" t="s">
        <v>91</v>
      </c>
      <c r="F86" t="s">
        <v>173</v>
      </c>
      <c r="G86" t="str">
        <f>"00217741"</f>
        <v>00217741</v>
      </c>
      <c r="H86" t="s">
        <v>174</v>
      </c>
      <c r="I86">
        <v>150</v>
      </c>
      <c r="J86">
        <v>30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2</v>
      </c>
      <c r="W86" t="s">
        <v>175</v>
      </c>
    </row>
    <row r="87" spans="1:23" x14ac:dyDescent="0.25">
      <c r="H87">
        <v>703</v>
      </c>
    </row>
    <row r="88" spans="1:23" x14ac:dyDescent="0.25">
      <c r="A88">
        <v>41</v>
      </c>
      <c r="B88">
        <v>1358</v>
      </c>
      <c r="C88" t="s">
        <v>111</v>
      </c>
      <c r="D88" t="s">
        <v>14</v>
      </c>
      <c r="E88" t="s">
        <v>76</v>
      </c>
      <c r="F88" t="s">
        <v>176</v>
      </c>
      <c r="G88" t="str">
        <f>"201511039297"</f>
        <v>201511039297</v>
      </c>
      <c r="H88" t="s">
        <v>177</v>
      </c>
      <c r="I88">
        <v>150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81</v>
      </c>
      <c r="S88">
        <v>567</v>
      </c>
      <c r="T88">
        <v>0</v>
      </c>
      <c r="V88">
        <v>0</v>
      </c>
      <c r="W88" t="s">
        <v>178</v>
      </c>
    </row>
    <row r="89" spans="1:23" x14ac:dyDescent="0.25">
      <c r="H89">
        <v>703</v>
      </c>
    </row>
    <row r="90" spans="1:23" x14ac:dyDescent="0.25">
      <c r="A90">
        <v>42</v>
      </c>
      <c r="B90">
        <v>1027</v>
      </c>
      <c r="C90" t="s">
        <v>179</v>
      </c>
      <c r="D90" t="s">
        <v>180</v>
      </c>
      <c r="E90" t="s">
        <v>41</v>
      </c>
      <c r="F90" t="s">
        <v>181</v>
      </c>
      <c r="G90" t="str">
        <f>"201511032511"</f>
        <v>201511032511</v>
      </c>
      <c r="H90" t="s">
        <v>158</v>
      </c>
      <c r="I90">
        <v>150</v>
      </c>
      <c r="J90">
        <v>70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0</v>
      </c>
      <c r="W90" t="s">
        <v>182</v>
      </c>
    </row>
    <row r="91" spans="1:23" x14ac:dyDescent="0.25">
      <c r="H91" t="s">
        <v>183</v>
      </c>
    </row>
    <row r="92" spans="1:23" x14ac:dyDescent="0.25">
      <c r="A92">
        <v>43</v>
      </c>
      <c r="B92">
        <v>1629</v>
      </c>
      <c r="C92" t="s">
        <v>184</v>
      </c>
      <c r="D92" t="s">
        <v>185</v>
      </c>
      <c r="E92" t="s">
        <v>91</v>
      </c>
      <c r="F92" t="s">
        <v>186</v>
      </c>
      <c r="G92" t="str">
        <f>"201412001711"</f>
        <v>201412001711</v>
      </c>
      <c r="H92" t="s">
        <v>187</v>
      </c>
      <c r="I92">
        <v>150</v>
      </c>
      <c r="J92">
        <v>30</v>
      </c>
      <c r="K92">
        <v>30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84</v>
      </c>
      <c r="S92">
        <v>588</v>
      </c>
      <c r="T92">
        <v>0</v>
      </c>
      <c r="V92">
        <v>2</v>
      </c>
      <c r="W92" t="s">
        <v>188</v>
      </c>
    </row>
    <row r="93" spans="1:23" x14ac:dyDescent="0.25">
      <c r="H93" t="s">
        <v>26</v>
      </c>
    </row>
    <row r="94" spans="1:23" x14ac:dyDescent="0.25">
      <c r="A94">
        <v>44</v>
      </c>
      <c r="B94">
        <v>2565</v>
      </c>
      <c r="C94" t="s">
        <v>189</v>
      </c>
      <c r="D94" t="s">
        <v>46</v>
      </c>
      <c r="E94" t="s">
        <v>109</v>
      </c>
      <c r="F94" t="s">
        <v>190</v>
      </c>
      <c r="G94" t="str">
        <f>"00143959"</f>
        <v>00143959</v>
      </c>
      <c r="H94" t="s">
        <v>191</v>
      </c>
      <c r="I94">
        <v>150</v>
      </c>
      <c r="J94">
        <v>30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 t="s">
        <v>192</v>
      </c>
    </row>
    <row r="95" spans="1:23" x14ac:dyDescent="0.25">
      <c r="H95" t="s">
        <v>26</v>
      </c>
    </row>
    <row r="96" spans="1:23" x14ac:dyDescent="0.25">
      <c r="A96">
        <v>45</v>
      </c>
      <c r="B96">
        <v>756</v>
      </c>
      <c r="C96" t="s">
        <v>193</v>
      </c>
      <c r="D96" t="s">
        <v>194</v>
      </c>
      <c r="E96" t="s">
        <v>91</v>
      </c>
      <c r="F96" t="s">
        <v>195</v>
      </c>
      <c r="G96" t="str">
        <f>"201402006308"</f>
        <v>201402006308</v>
      </c>
      <c r="H96">
        <v>1100</v>
      </c>
      <c r="I96">
        <v>150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82</v>
      </c>
      <c r="S96">
        <v>574</v>
      </c>
      <c r="T96">
        <v>0</v>
      </c>
      <c r="V96">
        <v>1</v>
      </c>
      <c r="W96">
        <v>1824</v>
      </c>
    </row>
    <row r="97" spans="1:23" x14ac:dyDescent="0.25">
      <c r="H97">
        <v>703</v>
      </c>
    </row>
    <row r="98" spans="1:23" x14ac:dyDescent="0.25">
      <c r="A98">
        <v>46</v>
      </c>
      <c r="B98">
        <v>621</v>
      </c>
      <c r="C98" t="s">
        <v>196</v>
      </c>
      <c r="D98" t="s">
        <v>197</v>
      </c>
      <c r="E98" t="s">
        <v>47</v>
      </c>
      <c r="F98" t="s">
        <v>198</v>
      </c>
      <c r="G98" t="str">
        <f>"00230112"</f>
        <v>00230112</v>
      </c>
      <c r="H98" t="s">
        <v>49</v>
      </c>
      <c r="I98">
        <v>150</v>
      </c>
      <c r="J98">
        <v>30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84</v>
      </c>
      <c r="S98">
        <v>588</v>
      </c>
      <c r="T98">
        <v>0</v>
      </c>
      <c r="V98">
        <v>0</v>
      </c>
      <c r="W98" t="s">
        <v>199</v>
      </c>
    </row>
    <row r="99" spans="1:23" x14ac:dyDescent="0.25">
      <c r="H99">
        <v>703</v>
      </c>
    </row>
    <row r="100" spans="1:23" x14ac:dyDescent="0.25">
      <c r="A100">
        <v>47</v>
      </c>
      <c r="B100">
        <v>2053</v>
      </c>
      <c r="C100" t="s">
        <v>200</v>
      </c>
      <c r="D100" t="s">
        <v>46</v>
      </c>
      <c r="E100" t="s">
        <v>91</v>
      </c>
      <c r="F100" t="s">
        <v>201</v>
      </c>
      <c r="G100" t="str">
        <f>"00207012"</f>
        <v>00207012</v>
      </c>
      <c r="H100" t="s">
        <v>202</v>
      </c>
      <c r="I100">
        <v>150</v>
      </c>
      <c r="J100">
        <v>30</v>
      </c>
      <c r="K100">
        <v>0</v>
      </c>
      <c r="L100">
        <v>70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84</v>
      </c>
      <c r="S100">
        <v>588</v>
      </c>
      <c r="T100">
        <v>0</v>
      </c>
      <c r="V100">
        <v>2</v>
      </c>
      <c r="W100" t="s">
        <v>203</v>
      </c>
    </row>
    <row r="101" spans="1:23" x14ac:dyDescent="0.25">
      <c r="H101" t="s">
        <v>70</v>
      </c>
    </row>
    <row r="102" spans="1:23" x14ac:dyDescent="0.25">
      <c r="A102">
        <v>48</v>
      </c>
      <c r="B102">
        <v>3162</v>
      </c>
      <c r="C102" t="s">
        <v>204</v>
      </c>
      <c r="D102" t="s">
        <v>87</v>
      </c>
      <c r="E102" t="s">
        <v>21</v>
      </c>
      <c r="F102" t="s">
        <v>205</v>
      </c>
      <c r="G102" t="str">
        <f>"200809000696"</f>
        <v>200809000696</v>
      </c>
      <c r="H102" t="s">
        <v>202</v>
      </c>
      <c r="I102">
        <v>150</v>
      </c>
      <c r="J102">
        <v>70</v>
      </c>
      <c r="K102">
        <v>0</v>
      </c>
      <c r="L102">
        <v>0</v>
      </c>
      <c r="M102">
        <v>30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0</v>
      </c>
      <c r="W102" t="s">
        <v>203</v>
      </c>
    </row>
    <row r="103" spans="1:23" x14ac:dyDescent="0.25">
      <c r="H103" t="s">
        <v>70</v>
      </c>
    </row>
    <row r="104" spans="1:23" x14ac:dyDescent="0.25">
      <c r="A104">
        <v>49</v>
      </c>
      <c r="B104">
        <v>1308</v>
      </c>
      <c r="C104" t="s">
        <v>206</v>
      </c>
      <c r="D104" t="s">
        <v>207</v>
      </c>
      <c r="E104" t="s">
        <v>53</v>
      </c>
      <c r="F104" t="s">
        <v>208</v>
      </c>
      <c r="G104" t="str">
        <f>"201402010989"</f>
        <v>201402010989</v>
      </c>
      <c r="H104" t="s">
        <v>209</v>
      </c>
      <c r="I104">
        <v>150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84</v>
      </c>
      <c r="S104">
        <v>588</v>
      </c>
      <c r="T104">
        <v>0</v>
      </c>
      <c r="V104">
        <v>0</v>
      </c>
      <c r="W104" t="s">
        <v>210</v>
      </c>
    </row>
    <row r="105" spans="1:23" x14ac:dyDescent="0.25">
      <c r="H105">
        <v>703</v>
      </c>
    </row>
    <row r="106" spans="1:23" x14ac:dyDescent="0.25">
      <c r="A106">
        <v>50</v>
      </c>
      <c r="B106">
        <v>138</v>
      </c>
      <c r="C106" t="s">
        <v>211</v>
      </c>
      <c r="D106" t="s">
        <v>212</v>
      </c>
      <c r="E106" t="s">
        <v>76</v>
      </c>
      <c r="F106" t="s">
        <v>213</v>
      </c>
      <c r="G106" t="str">
        <f>"201406003497"</f>
        <v>201406003497</v>
      </c>
      <c r="H106" t="s">
        <v>142</v>
      </c>
      <c r="I106">
        <v>0</v>
      </c>
      <c r="J106">
        <v>70</v>
      </c>
      <c r="K106">
        <v>0</v>
      </c>
      <c r="L106">
        <v>30</v>
      </c>
      <c r="M106">
        <v>70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0</v>
      </c>
      <c r="W106" t="s">
        <v>214</v>
      </c>
    </row>
    <row r="107" spans="1:23" x14ac:dyDescent="0.25">
      <c r="H107" t="s">
        <v>70</v>
      </c>
    </row>
    <row r="108" spans="1:23" x14ac:dyDescent="0.25">
      <c r="A108">
        <v>51</v>
      </c>
      <c r="B108">
        <v>3181</v>
      </c>
      <c r="C108" t="s">
        <v>215</v>
      </c>
      <c r="D108" t="s">
        <v>40</v>
      </c>
      <c r="E108" t="s">
        <v>15</v>
      </c>
      <c r="F108" t="s">
        <v>216</v>
      </c>
      <c r="G108" t="str">
        <f>"200712002180"</f>
        <v>200712002180</v>
      </c>
      <c r="H108" t="s">
        <v>217</v>
      </c>
      <c r="I108">
        <v>150</v>
      </c>
      <c r="J108">
        <v>70</v>
      </c>
      <c r="K108">
        <v>30</v>
      </c>
      <c r="L108">
        <v>0</v>
      </c>
      <c r="M108">
        <v>0</v>
      </c>
      <c r="N108">
        <v>30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0</v>
      </c>
      <c r="W108" t="s">
        <v>214</v>
      </c>
    </row>
    <row r="109" spans="1:23" x14ac:dyDescent="0.25">
      <c r="H109" t="s">
        <v>70</v>
      </c>
    </row>
    <row r="110" spans="1:23" x14ac:dyDescent="0.25">
      <c r="A110">
        <v>52</v>
      </c>
      <c r="B110">
        <v>3122</v>
      </c>
      <c r="C110" t="s">
        <v>218</v>
      </c>
      <c r="D110" t="s">
        <v>219</v>
      </c>
      <c r="E110" t="s">
        <v>53</v>
      </c>
      <c r="F110" t="s">
        <v>220</v>
      </c>
      <c r="G110" t="str">
        <f>"200712004837"</f>
        <v>200712004837</v>
      </c>
      <c r="H110" t="s">
        <v>81</v>
      </c>
      <c r="I110">
        <v>150</v>
      </c>
      <c r="J110">
        <v>30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0</v>
      </c>
      <c r="W110" t="s">
        <v>221</v>
      </c>
    </row>
    <row r="111" spans="1:23" x14ac:dyDescent="0.25">
      <c r="H111">
        <v>703</v>
      </c>
    </row>
    <row r="112" spans="1:23" x14ac:dyDescent="0.25">
      <c r="A112">
        <v>53</v>
      </c>
      <c r="B112">
        <v>1942</v>
      </c>
      <c r="C112" t="s">
        <v>222</v>
      </c>
      <c r="D112" t="s">
        <v>223</v>
      </c>
      <c r="E112" t="s">
        <v>58</v>
      </c>
      <c r="F112" t="s">
        <v>224</v>
      </c>
      <c r="G112" t="str">
        <f>"201002000058"</f>
        <v>201002000058</v>
      </c>
      <c r="H112">
        <v>1078</v>
      </c>
      <c r="I112">
        <v>150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84</v>
      </c>
      <c r="S112">
        <v>588</v>
      </c>
      <c r="T112">
        <v>0</v>
      </c>
      <c r="V112">
        <v>0</v>
      </c>
      <c r="W112">
        <v>1816</v>
      </c>
    </row>
    <row r="113" spans="1:23" x14ac:dyDescent="0.25">
      <c r="H113">
        <v>703</v>
      </c>
    </row>
    <row r="114" spans="1:23" x14ac:dyDescent="0.25">
      <c r="A114">
        <v>54</v>
      </c>
      <c r="B114">
        <v>463</v>
      </c>
      <c r="C114" t="s">
        <v>225</v>
      </c>
      <c r="D114" t="s">
        <v>226</v>
      </c>
      <c r="E114" t="s">
        <v>227</v>
      </c>
      <c r="F114" t="s">
        <v>228</v>
      </c>
      <c r="G114" t="str">
        <f>"00228341"</f>
        <v>00228341</v>
      </c>
      <c r="H114">
        <v>1078</v>
      </c>
      <c r="I114">
        <v>150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84</v>
      </c>
      <c r="S114">
        <v>588</v>
      </c>
      <c r="T114">
        <v>0</v>
      </c>
      <c r="V114">
        <v>0</v>
      </c>
      <c r="W114">
        <v>1816</v>
      </c>
    </row>
    <row r="115" spans="1:23" x14ac:dyDescent="0.25">
      <c r="H115">
        <v>703</v>
      </c>
    </row>
    <row r="116" spans="1:23" x14ac:dyDescent="0.25">
      <c r="A116">
        <v>55</v>
      </c>
      <c r="B116">
        <v>669</v>
      </c>
      <c r="C116" t="s">
        <v>229</v>
      </c>
      <c r="D116" t="s">
        <v>230</v>
      </c>
      <c r="E116" t="s">
        <v>109</v>
      </c>
      <c r="F116" t="s">
        <v>231</v>
      </c>
      <c r="G116" t="str">
        <f>"00229722"</f>
        <v>00229722</v>
      </c>
      <c r="H116" t="s">
        <v>232</v>
      </c>
      <c r="I116">
        <v>150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0</v>
      </c>
      <c r="V116">
        <v>0</v>
      </c>
      <c r="W116" t="s">
        <v>233</v>
      </c>
    </row>
    <row r="117" spans="1:23" x14ac:dyDescent="0.25">
      <c r="H117">
        <v>703</v>
      </c>
    </row>
    <row r="118" spans="1:23" x14ac:dyDescent="0.25">
      <c r="A118">
        <v>56</v>
      </c>
      <c r="B118">
        <v>523</v>
      </c>
      <c r="C118" t="s">
        <v>234</v>
      </c>
      <c r="D118" t="s">
        <v>140</v>
      </c>
      <c r="E118" t="s">
        <v>235</v>
      </c>
      <c r="F118" t="s">
        <v>236</v>
      </c>
      <c r="G118" t="str">
        <f>"00205675"</f>
        <v>00205675</v>
      </c>
      <c r="H118" t="s">
        <v>237</v>
      </c>
      <c r="I118">
        <v>150</v>
      </c>
      <c r="J118">
        <v>70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0</v>
      </c>
      <c r="W118" t="s">
        <v>238</v>
      </c>
    </row>
    <row r="119" spans="1:23" x14ac:dyDescent="0.25">
      <c r="H119">
        <v>703</v>
      </c>
    </row>
    <row r="120" spans="1:23" x14ac:dyDescent="0.25">
      <c r="A120">
        <v>57</v>
      </c>
      <c r="B120">
        <v>2159</v>
      </c>
      <c r="C120" t="s">
        <v>239</v>
      </c>
      <c r="D120" t="s">
        <v>140</v>
      </c>
      <c r="E120" t="s">
        <v>76</v>
      </c>
      <c r="F120" t="s">
        <v>240</v>
      </c>
      <c r="G120" t="str">
        <f>"201406004627"</f>
        <v>201406004627</v>
      </c>
      <c r="H120" t="s">
        <v>237</v>
      </c>
      <c r="I120">
        <v>150</v>
      </c>
      <c r="J120">
        <v>70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84</v>
      </c>
      <c r="S120">
        <v>588</v>
      </c>
      <c r="T120">
        <v>0</v>
      </c>
      <c r="V120">
        <v>0</v>
      </c>
      <c r="W120" t="s">
        <v>238</v>
      </c>
    </row>
    <row r="121" spans="1:23" x14ac:dyDescent="0.25">
      <c r="H121">
        <v>703</v>
      </c>
    </row>
    <row r="122" spans="1:23" x14ac:dyDescent="0.25">
      <c r="A122">
        <v>58</v>
      </c>
      <c r="B122">
        <v>3134</v>
      </c>
      <c r="C122" t="s">
        <v>241</v>
      </c>
      <c r="D122" t="s">
        <v>109</v>
      </c>
      <c r="E122" t="s">
        <v>91</v>
      </c>
      <c r="F122" t="s">
        <v>242</v>
      </c>
      <c r="G122" t="str">
        <f>"200907000451"</f>
        <v>200907000451</v>
      </c>
      <c r="H122" t="s">
        <v>237</v>
      </c>
      <c r="I122">
        <v>150</v>
      </c>
      <c r="J122">
        <v>70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84</v>
      </c>
      <c r="S122">
        <v>588</v>
      </c>
      <c r="T122">
        <v>0</v>
      </c>
      <c r="V122">
        <v>0</v>
      </c>
      <c r="W122" t="s">
        <v>238</v>
      </c>
    </row>
    <row r="123" spans="1:23" x14ac:dyDescent="0.25">
      <c r="H123">
        <v>703</v>
      </c>
    </row>
    <row r="124" spans="1:23" x14ac:dyDescent="0.25">
      <c r="A124">
        <v>59</v>
      </c>
      <c r="B124">
        <v>2854</v>
      </c>
      <c r="C124" t="s">
        <v>243</v>
      </c>
      <c r="D124" t="s">
        <v>219</v>
      </c>
      <c r="E124" t="s">
        <v>53</v>
      </c>
      <c r="F124" t="s">
        <v>244</v>
      </c>
      <c r="G124" t="str">
        <f>"00224252"</f>
        <v>00224252</v>
      </c>
      <c r="H124" t="s">
        <v>245</v>
      </c>
      <c r="I124">
        <v>150</v>
      </c>
      <c r="J124">
        <v>50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0</v>
      </c>
      <c r="W124" t="s">
        <v>246</v>
      </c>
    </row>
    <row r="125" spans="1:23" x14ac:dyDescent="0.25">
      <c r="H125" t="s">
        <v>26</v>
      </c>
    </row>
    <row r="126" spans="1:23" x14ac:dyDescent="0.25">
      <c r="A126">
        <v>60</v>
      </c>
      <c r="B126">
        <v>2638</v>
      </c>
      <c r="C126" t="s">
        <v>247</v>
      </c>
      <c r="D126" t="s">
        <v>248</v>
      </c>
      <c r="E126" t="s">
        <v>24</v>
      </c>
      <c r="F126" t="s">
        <v>249</v>
      </c>
      <c r="G126" t="str">
        <f>"201304004592"</f>
        <v>201304004592</v>
      </c>
      <c r="H126">
        <v>1056</v>
      </c>
      <c r="I126">
        <v>0</v>
      </c>
      <c r="J126">
        <v>70</v>
      </c>
      <c r="K126">
        <v>0</v>
      </c>
      <c r="L126">
        <v>70</v>
      </c>
      <c r="M126">
        <v>0</v>
      </c>
      <c r="N126">
        <v>0</v>
      </c>
      <c r="O126">
        <v>0</v>
      </c>
      <c r="P126">
        <v>30</v>
      </c>
      <c r="Q126">
        <v>0</v>
      </c>
      <c r="R126">
        <v>84</v>
      </c>
      <c r="S126">
        <v>588</v>
      </c>
      <c r="T126">
        <v>0</v>
      </c>
      <c r="V126">
        <v>0</v>
      </c>
      <c r="W126">
        <v>1814</v>
      </c>
    </row>
    <row r="127" spans="1:23" x14ac:dyDescent="0.25">
      <c r="H127" t="s">
        <v>70</v>
      </c>
    </row>
    <row r="128" spans="1:23" x14ac:dyDescent="0.25">
      <c r="A128">
        <v>61</v>
      </c>
      <c r="B128">
        <v>817</v>
      </c>
      <c r="C128" t="s">
        <v>250</v>
      </c>
      <c r="D128" t="s">
        <v>251</v>
      </c>
      <c r="E128" t="s">
        <v>99</v>
      </c>
      <c r="F128" t="s">
        <v>252</v>
      </c>
      <c r="G128" t="str">
        <f>"201511035645"</f>
        <v>201511035645</v>
      </c>
      <c r="H128">
        <v>1045</v>
      </c>
      <c r="I128">
        <v>150</v>
      </c>
      <c r="J128">
        <v>30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84</v>
      </c>
      <c r="S128">
        <v>588</v>
      </c>
      <c r="T128">
        <v>0</v>
      </c>
      <c r="V128">
        <v>0</v>
      </c>
      <c r="W128">
        <v>1813</v>
      </c>
    </row>
    <row r="129" spans="1:23" x14ac:dyDescent="0.25">
      <c r="H129">
        <v>703</v>
      </c>
    </row>
    <row r="130" spans="1:23" x14ac:dyDescent="0.25">
      <c r="A130">
        <v>62</v>
      </c>
      <c r="B130">
        <v>2140</v>
      </c>
      <c r="C130" t="s">
        <v>253</v>
      </c>
      <c r="D130" t="s">
        <v>254</v>
      </c>
      <c r="E130" t="s">
        <v>255</v>
      </c>
      <c r="F130" t="s">
        <v>256</v>
      </c>
      <c r="G130" t="str">
        <f>"200904000547"</f>
        <v>200904000547</v>
      </c>
      <c r="H130">
        <v>1045</v>
      </c>
      <c r="I130">
        <v>150</v>
      </c>
      <c r="J130">
        <v>30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0</v>
      </c>
      <c r="W130">
        <v>1813</v>
      </c>
    </row>
    <row r="131" spans="1:23" x14ac:dyDescent="0.25">
      <c r="H131">
        <v>703</v>
      </c>
    </row>
    <row r="132" spans="1:23" x14ac:dyDescent="0.25">
      <c r="A132">
        <v>63</v>
      </c>
      <c r="B132">
        <v>1164</v>
      </c>
      <c r="C132" t="s">
        <v>257</v>
      </c>
      <c r="D132" t="s">
        <v>258</v>
      </c>
      <c r="E132" t="s">
        <v>53</v>
      </c>
      <c r="F132" t="s">
        <v>259</v>
      </c>
      <c r="G132" t="str">
        <f>"00230867"</f>
        <v>00230867</v>
      </c>
      <c r="H132">
        <v>1045</v>
      </c>
      <c r="I132">
        <v>150</v>
      </c>
      <c r="J132">
        <v>30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84</v>
      </c>
      <c r="S132">
        <v>588</v>
      </c>
      <c r="T132">
        <v>0</v>
      </c>
      <c r="V132">
        <v>2</v>
      </c>
      <c r="W132">
        <v>1813</v>
      </c>
    </row>
    <row r="133" spans="1:23" x14ac:dyDescent="0.25">
      <c r="H133">
        <v>703</v>
      </c>
    </row>
    <row r="134" spans="1:23" x14ac:dyDescent="0.25">
      <c r="A134">
        <v>64</v>
      </c>
      <c r="B134">
        <v>370</v>
      </c>
      <c r="C134" t="s">
        <v>260</v>
      </c>
      <c r="D134" t="s">
        <v>194</v>
      </c>
      <c r="E134" t="s">
        <v>91</v>
      </c>
      <c r="F134" t="s">
        <v>261</v>
      </c>
      <c r="G134" t="str">
        <f>"00230903"</f>
        <v>00230903</v>
      </c>
      <c r="H134">
        <v>1045</v>
      </c>
      <c r="I134">
        <v>150</v>
      </c>
      <c r="J134">
        <v>30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84</v>
      </c>
      <c r="S134">
        <v>588</v>
      </c>
      <c r="T134">
        <v>0</v>
      </c>
      <c r="V134">
        <v>0</v>
      </c>
      <c r="W134">
        <v>1813</v>
      </c>
    </row>
    <row r="135" spans="1:23" x14ac:dyDescent="0.25">
      <c r="H135">
        <v>703</v>
      </c>
    </row>
    <row r="136" spans="1:23" x14ac:dyDescent="0.25">
      <c r="A136">
        <v>65</v>
      </c>
      <c r="B136">
        <v>893</v>
      </c>
      <c r="C136" t="s">
        <v>262</v>
      </c>
      <c r="D136" t="s">
        <v>248</v>
      </c>
      <c r="E136" t="s">
        <v>263</v>
      </c>
      <c r="F136" t="s">
        <v>264</v>
      </c>
      <c r="G136" t="str">
        <f>"201412001465"</f>
        <v>201412001465</v>
      </c>
      <c r="H136">
        <v>1045</v>
      </c>
      <c r="I136">
        <v>150</v>
      </c>
      <c r="J136">
        <v>30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84</v>
      </c>
      <c r="S136">
        <v>588</v>
      </c>
      <c r="T136">
        <v>0</v>
      </c>
      <c r="V136">
        <v>1</v>
      </c>
      <c r="W136">
        <v>1813</v>
      </c>
    </row>
    <row r="137" spans="1:23" x14ac:dyDescent="0.25">
      <c r="H137" t="s">
        <v>26</v>
      </c>
    </row>
    <row r="138" spans="1:23" x14ac:dyDescent="0.25">
      <c r="A138">
        <v>66</v>
      </c>
      <c r="B138">
        <v>2471</v>
      </c>
      <c r="C138" t="s">
        <v>265</v>
      </c>
      <c r="D138" t="s">
        <v>20</v>
      </c>
      <c r="E138" t="s">
        <v>99</v>
      </c>
      <c r="F138" t="s">
        <v>266</v>
      </c>
      <c r="G138" t="str">
        <f>"00152608"</f>
        <v>00152608</v>
      </c>
      <c r="H138">
        <v>1045</v>
      </c>
      <c r="I138">
        <v>150</v>
      </c>
      <c r="J138">
        <v>30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84</v>
      </c>
      <c r="S138">
        <v>588</v>
      </c>
      <c r="T138">
        <v>0</v>
      </c>
      <c r="V138">
        <v>0</v>
      </c>
      <c r="W138">
        <v>1813</v>
      </c>
    </row>
    <row r="139" spans="1:23" x14ac:dyDescent="0.25">
      <c r="H139">
        <v>703</v>
      </c>
    </row>
    <row r="140" spans="1:23" x14ac:dyDescent="0.25">
      <c r="A140">
        <v>67</v>
      </c>
      <c r="B140">
        <v>418</v>
      </c>
      <c r="C140" t="s">
        <v>267</v>
      </c>
      <c r="D140" t="s">
        <v>268</v>
      </c>
      <c r="E140" t="s">
        <v>62</v>
      </c>
      <c r="F140" t="s">
        <v>269</v>
      </c>
      <c r="G140" t="str">
        <f>"201406011650"</f>
        <v>201406011650</v>
      </c>
      <c r="H140" t="s">
        <v>270</v>
      </c>
      <c r="I140">
        <v>150</v>
      </c>
      <c r="J140">
        <v>70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84</v>
      </c>
      <c r="S140">
        <v>588</v>
      </c>
      <c r="T140">
        <v>0</v>
      </c>
      <c r="V140">
        <v>0</v>
      </c>
      <c r="W140" t="s">
        <v>271</v>
      </c>
    </row>
    <row r="141" spans="1:23" x14ac:dyDescent="0.25">
      <c r="H141">
        <v>703</v>
      </c>
    </row>
    <row r="142" spans="1:23" x14ac:dyDescent="0.25">
      <c r="A142">
        <v>68</v>
      </c>
      <c r="B142">
        <v>2771</v>
      </c>
      <c r="C142" t="s">
        <v>272</v>
      </c>
      <c r="D142" t="s">
        <v>273</v>
      </c>
      <c r="E142" t="s">
        <v>109</v>
      </c>
      <c r="F142" t="s">
        <v>274</v>
      </c>
      <c r="G142" t="str">
        <f>"00221586"</f>
        <v>00221586</v>
      </c>
      <c r="H142" t="s">
        <v>137</v>
      </c>
      <c r="I142">
        <v>150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84</v>
      </c>
      <c r="S142">
        <v>588</v>
      </c>
      <c r="T142">
        <v>0</v>
      </c>
      <c r="V142">
        <v>1</v>
      </c>
      <c r="W142" t="s">
        <v>275</v>
      </c>
    </row>
    <row r="143" spans="1:23" x14ac:dyDescent="0.25">
      <c r="H143">
        <v>703</v>
      </c>
    </row>
    <row r="144" spans="1:23" x14ac:dyDescent="0.25">
      <c r="A144">
        <v>69</v>
      </c>
      <c r="B144">
        <v>1342</v>
      </c>
      <c r="C144" t="s">
        <v>276</v>
      </c>
      <c r="D144" t="s">
        <v>53</v>
      </c>
      <c r="E144" t="s">
        <v>135</v>
      </c>
      <c r="F144" t="s">
        <v>277</v>
      </c>
      <c r="G144" t="str">
        <f>"201402001515"</f>
        <v>201402001515</v>
      </c>
      <c r="H144">
        <v>990</v>
      </c>
      <c r="I144">
        <v>150</v>
      </c>
      <c r="J144">
        <v>50</v>
      </c>
      <c r="K144">
        <v>0</v>
      </c>
      <c r="L144">
        <v>30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84</v>
      </c>
      <c r="S144">
        <v>588</v>
      </c>
      <c r="T144">
        <v>0</v>
      </c>
      <c r="V144">
        <v>2</v>
      </c>
      <c r="W144">
        <v>1808</v>
      </c>
    </row>
    <row r="145" spans="1:23" x14ac:dyDescent="0.25">
      <c r="H145" t="s">
        <v>26</v>
      </c>
    </row>
    <row r="146" spans="1:23" x14ac:dyDescent="0.25">
      <c r="A146">
        <v>70</v>
      </c>
      <c r="B146">
        <v>727</v>
      </c>
      <c r="C146" t="s">
        <v>278</v>
      </c>
      <c r="D146" t="s">
        <v>279</v>
      </c>
      <c r="E146" t="s">
        <v>53</v>
      </c>
      <c r="F146" t="s">
        <v>280</v>
      </c>
      <c r="G146" t="str">
        <f>"201406008549"</f>
        <v>201406008549</v>
      </c>
      <c r="H146" t="s">
        <v>281</v>
      </c>
      <c r="I146">
        <v>150</v>
      </c>
      <c r="J146">
        <v>30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84</v>
      </c>
      <c r="S146">
        <v>588</v>
      </c>
      <c r="T146">
        <v>0</v>
      </c>
      <c r="V146">
        <v>0</v>
      </c>
      <c r="W146" t="s">
        <v>282</v>
      </c>
    </row>
    <row r="147" spans="1:23" x14ac:dyDescent="0.25">
      <c r="H147">
        <v>703</v>
      </c>
    </row>
    <row r="148" spans="1:23" x14ac:dyDescent="0.25">
      <c r="A148">
        <v>71</v>
      </c>
      <c r="B148">
        <v>929</v>
      </c>
      <c r="C148" t="s">
        <v>283</v>
      </c>
      <c r="D148" t="s">
        <v>140</v>
      </c>
      <c r="E148" t="s">
        <v>41</v>
      </c>
      <c r="F148" t="s">
        <v>284</v>
      </c>
      <c r="G148" t="str">
        <f>"00113757"</f>
        <v>00113757</v>
      </c>
      <c r="H148">
        <v>1078</v>
      </c>
      <c r="I148">
        <v>0</v>
      </c>
      <c r="J148">
        <v>70</v>
      </c>
      <c r="K148">
        <v>70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T148">
        <v>0</v>
      </c>
      <c r="V148">
        <v>0</v>
      </c>
      <c r="W148">
        <v>1806</v>
      </c>
    </row>
    <row r="149" spans="1:23" x14ac:dyDescent="0.25">
      <c r="H149" t="s">
        <v>70</v>
      </c>
    </row>
    <row r="150" spans="1:23" x14ac:dyDescent="0.25">
      <c r="A150">
        <v>72</v>
      </c>
      <c r="B150">
        <v>1928</v>
      </c>
      <c r="C150" t="s">
        <v>45</v>
      </c>
      <c r="D150" t="s">
        <v>285</v>
      </c>
      <c r="E150" t="s">
        <v>79</v>
      </c>
      <c r="F150" t="s">
        <v>286</v>
      </c>
      <c r="G150" t="str">
        <f>"00014645"</f>
        <v>00014645</v>
      </c>
      <c r="H150" t="s">
        <v>237</v>
      </c>
      <c r="I150">
        <v>150</v>
      </c>
      <c r="J150">
        <v>30</v>
      </c>
      <c r="K150">
        <v>0</v>
      </c>
      <c r="L150">
        <v>30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84</v>
      </c>
      <c r="S150">
        <v>588</v>
      </c>
      <c r="T150">
        <v>0</v>
      </c>
      <c r="V150">
        <v>0</v>
      </c>
      <c r="W150" t="s">
        <v>287</v>
      </c>
    </row>
    <row r="151" spans="1:23" x14ac:dyDescent="0.25">
      <c r="H151">
        <v>703</v>
      </c>
    </row>
    <row r="152" spans="1:23" x14ac:dyDescent="0.25">
      <c r="A152">
        <v>73</v>
      </c>
      <c r="B152">
        <v>2449</v>
      </c>
      <c r="C152" t="s">
        <v>288</v>
      </c>
      <c r="D152" t="s">
        <v>289</v>
      </c>
      <c r="E152" t="s">
        <v>15</v>
      </c>
      <c r="F152" t="s">
        <v>290</v>
      </c>
      <c r="G152" t="str">
        <f>"201410011952"</f>
        <v>201410011952</v>
      </c>
      <c r="H152" t="s">
        <v>43</v>
      </c>
      <c r="I152">
        <v>0</v>
      </c>
      <c r="J152">
        <v>70</v>
      </c>
      <c r="K152">
        <v>0</v>
      </c>
      <c r="L152">
        <v>0</v>
      </c>
      <c r="M152">
        <v>70</v>
      </c>
      <c r="N152">
        <v>0</v>
      </c>
      <c r="O152">
        <v>0</v>
      </c>
      <c r="P152">
        <v>0</v>
      </c>
      <c r="Q152">
        <v>0</v>
      </c>
      <c r="R152">
        <v>84</v>
      </c>
      <c r="S152">
        <v>588</v>
      </c>
      <c r="T152">
        <v>0</v>
      </c>
      <c r="V152">
        <v>2</v>
      </c>
      <c r="W152" t="s">
        <v>291</v>
      </c>
    </row>
    <row r="153" spans="1:23" x14ac:dyDescent="0.25">
      <c r="H153">
        <v>703</v>
      </c>
    </row>
    <row r="154" spans="1:23" x14ac:dyDescent="0.25">
      <c r="A154">
        <v>74</v>
      </c>
      <c r="B154">
        <v>2472</v>
      </c>
      <c r="C154" t="s">
        <v>292</v>
      </c>
      <c r="D154" t="s">
        <v>293</v>
      </c>
      <c r="E154" t="s">
        <v>53</v>
      </c>
      <c r="F154" t="s">
        <v>294</v>
      </c>
      <c r="G154" t="str">
        <f>"200811000142"</f>
        <v>200811000142</v>
      </c>
      <c r="H154" t="s">
        <v>137</v>
      </c>
      <c r="I154">
        <v>150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83</v>
      </c>
      <c r="S154">
        <v>581</v>
      </c>
      <c r="T154">
        <v>0</v>
      </c>
      <c r="V154">
        <v>2</v>
      </c>
      <c r="W154" t="s">
        <v>295</v>
      </c>
    </row>
    <row r="155" spans="1:23" x14ac:dyDescent="0.25">
      <c r="H155">
        <v>703</v>
      </c>
    </row>
    <row r="156" spans="1:23" x14ac:dyDescent="0.25">
      <c r="A156">
        <v>75</v>
      </c>
      <c r="B156">
        <v>262</v>
      </c>
      <c r="C156" t="s">
        <v>296</v>
      </c>
      <c r="D156" t="s">
        <v>273</v>
      </c>
      <c r="E156" t="s">
        <v>297</v>
      </c>
      <c r="F156" t="s">
        <v>298</v>
      </c>
      <c r="G156" t="str">
        <f>"200802012102"</f>
        <v>200802012102</v>
      </c>
      <c r="H156" t="s">
        <v>299</v>
      </c>
      <c r="I156">
        <v>150</v>
      </c>
      <c r="J156">
        <v>30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84</v>
      </c>
      <c r="S156">
        <v>588</v>
      </c>
      <c r="T156">
        <v>0</v>
      </c>
      <c r="V156">
        <v>0</v>
      </c>
      <c r="W156" t="s">
        <v>300</v>
      </c>
    </row>
    <row r="157" spans="1:23" x14ac:dyDescent="0.25">
      <c r="H157">
        <v>703</v>
      </c>
    </row>
    <row r="158" spans="1:23" x14ac:dyDescent="0.25">
      <c r="A158">
        <v>76</v>
      </c>
      <c r="B158">
        <v>3</v>
      </c>
      <c r="C158" t="s">
        <v>301</v>
      </c>
      <c r="D158" t="s">
        <v>302</v>
      </c>
      <c r="E158" t="s">
        <v>303</v>
      </c>
      <c r="F158" t="s">
        <v>304</v>
      </c>
      <c r="G158" t="str">
        <f>"00002675"</f>
        <v>00002675</v>
      </c>
      <c r="H158" t="s">
        <v>305</v>
      </c>
      <c r="I158">
        <v>150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84</v>
      </c>
      <c r="S158">
        <v>588</v>
      </c>
      <c r="T158">
        <v>0</v>
      </c>
      <c r="V158">
        <v>0</v>
      </c>
      <c r="W158" t="s">
        <v>306</v>
      </c>
    </row>
    <row r="159" spans="1:23" x14ac:dyDescent="0.25">
      <c r="H159">
        <v>703</v>
      </c>
    </row>
    <row r="160" spans="1:23" x14ac:dyDescent="0.25">
      <c r="A160">
        <v>77</v>
      </c>
      <c r="B160">
        <v>1136</v>
      </c>
      <c r="C160" t="s">
        <v>307</v>
      </c>
      <c r="D160" t="s">
        <v>308</v>
      </c>
      <c r="E160" t="s">
        <v>99</v>
      </c>
      <c r="F160" t="s">
        <v>309</v>
      </c>
      <c r="G160" t="str">
        <f>"00140826"</f>
        <v>00140826</v>
      </c>
      <c r="H160" t="s">
        <v>17</v>
      </c>
      <c r="I160">
        <v>0</v>
      </c>
      <c r="J160">
        <v>70</v>
      </c>
      <c r="K160">
        <v>50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0</v>
      </c>
      <c r="W160" t="s">
        <v>310</v>
      </c>
    </row>
    <row r="161" spans="1:23" x14ac:dyDescent="0.25">
      <c r="H161">
        <v>703</v>
      </c>
    </row>
    <row r="162" spans="1:23" x14ac:dyDescent="0.25">
      <c r="A162">
        <v>78</v>
      </c>
      <c r="B162">
        <v>1219</v>
      </c>
      <c r="C162" t="s">
        <v>311</v>
      </c>
      <c r="D162" t="s">
        <v>312</v>
      </c>
      <c r="E162" t="s">
        <v>76</v>
      </c>
      <c r="F162" t="s">
        <v>313</v>
      </c>
      <c r="G162" t="str">
        <f>"00226889"</f>
        <v>00226889</v>
      </c>
      <c r="H162">
        <v>1001</v>
      </c>
      <c r="I162">
        <v>150</v>
      </c>
      <c r="J162">
        <v>30</v>
      </c>
      <c r="K162">
        <v>0</v>
      </c>
      <c r="L162">
        <v>0</v>
      </c>
      <c r="M162">
        <v>30</v>
      </c>
      <c r="N162">
        <v>0</v>
      </c>
      <c r="O162">
        <v>0</v>
      </c>
      <c r="P162">
        <v>0</v>
      </c>
      <c r="Q162">
        <v>0</v>
      </c>
      <c r="R162">
        <v>84</v>
      </c>
      <c r="S162">
        <v>588</v>
      </c>
      <c r="T162">
        <v>0</v>
      </c>
      <c r="V162">
        <v>0</v>
      </c>
      <c r="W162">
        <v>1799</v>
      </c>
    </row>
    <row r="163" spans="1:23" x14ac:dyDescent="0.25">
      <c r="H163" t="s">
        <v>70</v>
      </c>
    </row>
    <row r="164" spans="1:23" x14ac:dyDescent="0.25">
      <c r="A164">
        <v>79</v>
      </c>
      <c r="B164">
        <v>172</v>
      </c>
      <c r="C164" t="s">
        <v>314</v>
      </c>
      <c r="D164" t="s">
        <v>315</v>
      </c>
      <c r="E164" t="s">
        <v>316</v>
      </c>
      <c r="F164" t="s">
        <v>317</v>
      </c>
      <c r="G164" t="str">
        <f>"200803000002"</f>
        <v>200803000002</v>
      </c>
      <c r="H164" t="s">
        <v>318</v>
      </c>
      <c r="I164">
        <v>150</v>
      </c>
      <c r="J164">
        <v>70</v>
      </c>
      <c r="K164">
        <v>0</v>
      </c>
      <c r="L164">
        <v>0</v>
      </c>
      <c r="M164">
        <v>0</v>
      </c>
      <c r="N164">
        <v>0</v>
      </c>
      <c r="O164">
        <v>70</v>
      </c>
      <c r="P164">
        <v>0</v>
      </c>
      <c r="Q164">
        <v>0</v>
      </c>
      <c r="R164">
        <v>84</v>
      </c>
      <c r="S164">
        <v>588</v>
      </c>
      <c r="T164">
        <v>0</v>
      </c>
      <c r="V164">
        <v>0</v>
      </c>
      <c r="W164" t="s">
        <v>319</v>
      </c>
    </row>
    <row r="165" spans="1:23" x14ac:dyDescent="0.25">
      <c r="H165" t="s">
        <v>320</v>
      </c>
    </row>
    <row r="166" spans="1:23" x14ac:dyDescent="0.25">
      <c r="A166">
        <v>80</v>
      </c>
      <c r="B166">
        <v>3152</v>
      </c>
      <c r="C166" t="s">
        <v>321</v>
      </c>
      <c r="D166" t="s">
        <v>57</v>
      </c>
      <c r="E166" t="s">
        <v>322</v>
      </c>
      <c r="F166" t="s">
        <v>323</v>
      </c>
      <c r="G166" t="str">
        <f>"200801006039"</f>
        <v>200801006039</v>
      </c>
      <c r="H166">
        <v>990</v>
      </c>
      <c r="I166">
        <v>150</v>
      </c>
      <c r="J166">
        <v>70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84</v>
      </c>
      <c r="S166">
        <v>588</v>
      </c>
      <c r="T166">
        <v>0</v>
      </c>
      <c r="V166">
        <v>0</v>
      </c>
      <c r="W166">
        <v>1798</v>
      </c>
    </row>
    <row r="167" spans="1:23" x14ac:dyDescent="0.25">
      <c r="H167">
        <v>703</v>
      </c>
    </row>
    <row r="168" spans="1:23" x14ac:dyDescent="0.25">
      <c r="A168">
        <v>81</v>
      </c>
      <c r="B168">
        <v>1848</v>
      </c>
      <c r="C168" t="s">
        <v>324</v>
      </c>
      <c r="D168" t="s">
        <v>325</v>
      </c>
      <c r="E168" t="s">
        <v>326</v>
      </c>
      <c r="F168" t="s">
        <v>327</v>
      </c>
      <c r="G168" t="str">
        <f>"201509000354"</f>
        <v>201509000354</v>
      </c>
      <c r="H168" t="s">
        <v>187</v>
      </c>
      <c r="I168">
        <v>150</v>
      </c>
      <c r="J168">
        <v>30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84</v>
      </c>
      <c r="S168">
        <v>588</v>
      </c>
      <c r="T168">
        <v>0</v>
      </c>
      <c r="V168">
        <v>2</v>
      </c>
      <c r="W168" t="s">
        <v>328</v>
      </c>
    </row>
    <row r="169" spans="1:23" x14ac:dyDescent="0.25">
      <c r="H169">
        <v>703</v>
      </c>
    </row>
    <row r="170" spans="1:23" x14ac:dyDescent="0.25">
      <c r="A170">
        <v>82</v>
      </c>
      <c r="B170">
        <v>2216</v>
      </c>
      <c r="C170" t="s">
        <v>329</v>
      </c>
      <c r="D170" t="s">
        <v>46</v>
      </c>
      <c r="E170" t="s">
        <v>322</v>
      </c>
      <c r="F170" t="s">
        <v>330</v>
      </c>
      <c r="G170" t="str">
        <f>"00139937"</f>
        <v>00139937</v>
      </c>
      <c r="H170" t="s">
        <v>331</v>
      </c>
      <c r="I170">
        <v>150</v>
      </c>
      <c r="J170">
        <v>70</v>
      </c>
      <c r="K170">
        <v>0</v>
      </c>
      <c r="L170">
        <v>0</v>
      </c>
      <c r="M170">
        <v>30</v>
      </c>
      <c r="N170">
        <v>0</v>
      </c>
      <c r="O170">
        <v>0</v>
      </c>
      <c r="P170">
        <v>0</v>
      </c>
      <c r="Q170">
        <v>0</v>
      </c>
      <c r="R170">
        <v>84</v>
      </c>
      <c r="S170">
        <v>588</v>
      </c>
      <c r="T170">
        <v>0</v>
      </c>
      <c r="V170">
        <v>0</v>
      </c>
      <c r="W170" t="s">
        <v>332</v>
      </c>
    </row>
    <row r="171" spans="1:23" x14ac:dyDescent="0.25">
      <c r="H171">
        <v>703</v>
      </c>
    </row>
    <row r="172" spans="1:23" x14ac:dyDescent="0.25">
      <c r="A172">
        <v>83</v>
      </c>
      <c r="B172">
        <v>2</v>
      </c>
      <c r="C172" t="s">
        <v>333</v>
      </c>
      <c r="D172" t="s">
        <v>140</v>
      </c>
      <c r="E172" t="s">
        <v>37</v>
      </c>
      <c r="F172" t="s">
        <v>334</v>
      </c>
      <c r="G172" t="str">
        <f>"00224529"</f>
        <v>00224529</v>
      </c>
      <c r="H172">
        <v>1100</v>
      </c>
      <c r="I172">
        <v>150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78</v>
      </c>
      <c r="S172">
        <v>546</v>
      </c>
      <c r="T172">
        <v>0</v>
      </c>
      <c r="V172">
        <v>0</v>
      </c>
      <c r="W172">
        <v>1796</v>
      </c>
    </row>
    <row r="173" spans="1:23" x14ac:dyDescent="0.25">
      <c r="H173">
        <v>703</v>
      </c>
    </row>
    <row r="174" spans="1:23" x14ac:dyDescent="0.25">
      <c r="A174">
        <v>84</v>
      </c>
      <c r="B174">
        <v>3011</v>
      </c>
      <c r="C174" t="s">
        <v>335</v>
      </c>
      <c r="D174" t="s">
        <v>258</v>
      </c>
      <c r="E174" t="s">
        <v>91</v>
      </c>
      <c r="F174" t="s">
        <v>336</v>
      </c>
      <c r="G174" t="str">
        <f>"201406001593"</f>
        <v>201406001593</v>
      </c>
      <c r="H174" t="s">
        <v>73</v>
      </c>
      <c r="I174">
        <v>150</v>
      </c>
      <c r="J174">
        <v>70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75</v>
      </c>
      <c r="S174">
        <v>525</v>
      </c>
      <c r="T174">
        <v>0</v>
      </c>
      <c r="V174">
        <v>0</v>
      </c>
      <c r="W174" t="s">
        <v>337</v>
      </c>
    </row>
    <row r="175" spans="1:23" x14ac:dyDescent="0.25">
      <c r="H175">
        <v>703</v>
      </c>
    </row>
    <row r="176" spans="1:23" x14ac:dyDescent="0.25">
      <c r="A176">
        <v>85</v>
      </c>
      <c r="B176">
        <v>316</v>
      </c>
      <c r="C176" t="s">
        <v>338</v>
      </c>
      <c r="D176" t="s">
        <v>273</v>
      </c>
      <c r="E176" t="s">
        <v>339</v>
      </c>
      <c r="F176" t="s">
        <v>340</v>
      </c>
      <c r="G176" t="str">
        <f>"201511042604"</f>
        <v>201511042604</v>
      </c>
      <c r="H176">
        <v>1067</v>
      </c>
      <c r="I176">
        <v>0</v>
      </c>
      <c r="J176">
        <v>70</v>
      </c>
      <c r="K176">
        <v>0</v>
      </c>
      <c r="L176">
        <v>70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84</v>
      </c>
      <c r="S176">
        <v>588</v>
      </c>
      <c r="T176">
        <v>0</v>
      </c>
      <c r="V176">
        <v>2</v>
      </c>
      <c r="W176">
        <v>1795</v>
      </c>
    </row>
    <row r="177" spans="1:23" x14ac:dyDescent="0.25">
      <c r="H177" t="s">
        <v>70</v>
      </c>
    </row>
    <row r="178" spans="1:23" x14ac:dyDescent="0.25">
      <c r="A178">
        <v>86</v>
      </c>
      <c r="B178">
        <v>1433</v>
      </c>
      <c r="C178" t="s">
        <v>341</v>
      </c>
      <c r="D178" t="s">
        <v>140</v>
      </c>
      <c r="E178" t="s">
        <v>109</v>
      </c>
      <c r="F178" t="s">
        <v>342</v>
      </c>
      <c r="G178" t="str">
        <f>"201406011301"</f>
        <v>201406011301</v>
      </c>
      <c r="H178">
        <v>957</v>
      </c>
      <c r="I178">
        <v>150</v>
      </c>
      <c r="J178">
        <v>70</v>
      </c>
      <c r="K178">
        <v>0</v>
      </c>
      <c r="L178">
        <v>0</v>
      </c>
      <c r="M178">
        <v>30</v>
      </c>
      <c r="N178">
        <v>0</v>
      </c>
      <c r="O178">
        <v>0</v>
      </c>
      <c r="P178">
        <v>0</v>
      </c>
      <c r="Q178">
        <v>0</v>
      </c>
      <c r="R178">
        <v>84</v>
      </c>
      <c r="S178">
        <v>588</v>
      </c>
      <c r="T178">
        <v>0</v>
      </c>
      <c r="V178">
        <v>0</v>
      </c>
      <c r="W178">
        <v>1795</v>
      </c>
    </row>
    <row r="179" spans="1:23" x14ac:dyDescent="0.25">
      <c r="H179" t="s">
        <v>26</v>
      </c>
    </row>
    <row r="180" spans="1:23" x14ac:dyDescent="0.25">
      <c r="A180">
        <v>87</v>
      </c>
      <c r="B180">
        <v>628</v>
      </c>
      <c r="C180" t="s">
        <v>343</v>
      </c>
      <c r="D180" t="s">
        <v>344</v>
      </c>
      <c r="E180" t="s">
        <v>109</v>
      </c>
      <c r="F180" t="s">
        <v>345</v>
      </c>
      <c r="G180" t="str">
        <f>"201511040439"</f>
        <v>201511040439</v>
      </c>
      <c r="H180" t="s">
        <v>245</v>
      </c>
      <c r="I180">
        <v>150</v>
      </c>
      <c r="J180">
        <v>30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84</v>
      </c>
      <c r="S180">
        <v>588</v>
      </c>
      <c r="T180">
        <v>0</v>
      </c>
      <c r="V180">
        <v>2</v>
      </c>
      <c r="W180" t="s">
        <v>346</v>
      </c>
    </row>
    <row r="181" spans="1:23" x14ac:dyDescent="0.25">
      <c r="H181" t="s">
        <v>26</v>
      </c>
    </row>
    <row r="182" spans="1:23" x14ac:dyDescent="0.25">
      <c r="A182">
        <v>88</v>
      </c>
      <c r="B182">
        <v>387</v>
      </c>
      <c r="C182" t="s">
        <v>347</v>
      </c>
      <c r="D182" t="s">
        <v>166</v>
      </c>
      <c r="E182" t="s">
        <v>41</v>
      </c>
      <c r="F182" t="s">
        <v>348</v>
      </c>
      <c r="G182" t="str">
        <f>"00029480"</f>
        <v>00029480</v>
      </c>
      <c r="H182" t="s">
        <v>245</v>
      </c>
      <c r="I182">
        <v>150</v>
      </c>
      <c r="J182">
        <v>30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84</v>
      </c>
      <c r="S182">
        <v>588</v>
      </c>
      <c r="T182">
        <v>0</v>
      </c>
      <c r="V182">
        <v>0</v>
      </c>
      <c r="W182" t="s">
        <v>346</v>
      </c>
    </row>
    <row r="183" spans="1:23" x14ac:dyDescent="0.25">
      <c r="H183">
        <v>703</v>
      </c>
    </row>
    <row r="184" spans="1:23" x14ac:dyDescent="0.25">
      <c r="A184">
        <v>89</v>
      </c>
      <c r="B184">
        <v>2633</v>
      </c>
      <c r="C184" t="s">
        <v>349</v>
      </c>
      <c r="D184" t="s">
        <v>76</v>
      </c>
      <c r="E184" t="s">
        <v>350</v>
      </c>
      <c r="F184" t="s">
        <v>351</v>
      </c>
      <c r="G184" t="str">
        <f>"201510004419"</f>
        <v>201510004419</v>
      </c>
      <c r="H184">
        <v>1056</v>
      </c>
      <c r="I184">
        <v>150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84</v>
      </c>
      <c r="S184">
        <v>588</v>
      </c>
      <c r="T184">
        <v>0</v>
      </c>
      <c r="V184">
        <v>0</v>
      </c>
      <c r="W184">
        <v>1794</v>
      </c>
    </row>
    <row r="185" spans="1:23" x14ac:dyDescent="0.25">
      <c r="H185">
        <v>703</v>
      </c>
    </row>
    <row r="186" spans="1:23" x14ac:dyDescent="0.25">
      <c r="A186">
        <v>90</v>
      </c>
      <c r="B186">
        <v>2115</v>
      </c>
      <c r="C186" t="s">
        <v>352</v>
      </c>
      <c r="D186" t="s">
        <v>67</v>
      </c>
      <c r="E186" t="s">
        <v>227</v>
      </c>
      <c r="F186" t="s">
        <v>353</v>
      </c>
      <c r="G186" t="str">
        <f>"201406012498"</f>
        <v>201406012498</v>
      </c>
      <c r="H186">
        <v>1056</v>
      </c>
      <c r="I186">
        <v>150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84</v>
      </c>
      <c r="S186">
        <v>588</v>
      </c>
      <c r="T186">
        <v>0</v>
      </c>
      <c r="V186">
        <v>0</v>
      </c>
      <c r="W186">
        <v>1794</v>
      </c>
    </row>
    <row r="187" spans="1:23" x14ac:dyDescent="0.25">
      <c r="H187">
        <v>703</v>
      </c>
    </row>
    <row r="188" spans="1:23" x14ac:dyDescent="0.25">
      <c r="A188">
        <v>91</v>
      </c>
      <c r="B188">
        <v>411</v>
      </c>
      <c r="C188" t="s">
        <v>354</v>
      </c>
      <c r="D188" t="s">
        <v>355</v>
      </c>
      <c r="E188" t="s">
        <v>356</v>
      </c>
      <c r="F188" t="s">
        <v>357</v>
      </c>
      <c r="G188" t="str">
        <f>"200802000245"</f>
        <v>200802000245</v>
      </c>
      <c r="H188" t="s">
        <v>358</v>
      </c>
      <c r="I188">
        <v>150</v>
      </c>
      <c r="J188">
        <v>30</v>
      </c>
      <c r="K188">
        <v>0</v>
      </c>
      <c r="L188">
        <v>0</v>
      </c>
      <c r="M188">
        <v>0</v>
      </c>
      <c r="N188">
        <v>30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0</v>
      </c>
      <c r="W188" t="s">
        <v>359</v>
      </c>
    </row>
    <row r="189" spans="1:23" x14ac:dyDescent="0.25">
      <c r="H189" t="s">
        <v>70</v>
      </c>
    </row>
    <row r="190" spans="1:23" x14ac:dyDescent="0.25">
      <c r="A190">
        <v>92</v>
      </c>
      <c r="B190">
        <v>1412</v>
      </c>
      <c r="C190" t="s">
        <v>360</v>
      </c>
      <c r="D190" t="s">
        <v>361</v>
      </c>
      <c r="E190" t="s">
        <v>76</v>
      </c>
      <c r="F190" t="s">
        <v>362</v>
      </c>
      <c r="G190" t="str">
        <f>"201406003357"</f>
        <v>201406003357</v>
      </c>
      <c r="H190" t="s">
        <v>363</v>
      </c>
      <c r="I190">
        <v>150</v>
      </c>
      <c r="J190">
        <v>30</v>
      </c>
      <c r="K190">
        <v>0</v>
      </c>
      <c r="L190">
        <v>30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84</v>
      </c>
      <c r="S190">
        <v>588</v>
      </c>
      <c r="T190">
        <v>0</v>
      </c>
      <c r="V190">
        <v>0</v>
      </c>
      <c r="W190" t="s">
        <v>364</v>
      </c>
    </row>
    <row r="191" spans="1:23" x14ac:dyDescent="0.25">
      <c r="H191" t="s">
        <v>26</v>
      </c>
    </row>
    <row r="192" spans="1:23" x14ac:dyDescent="0.25">
      <c r="A192">
        <v>93</v>
      </c>
      <c r="B192">
        <v>3157</v>
      </c>
      <c r="C192" t="s">
        <v>365</v>
      </c>
      <c r="D192" t="s">
        <v>366</v>
      </c>
      <c r="E192" t="s">
        <v>15</v>
      </c>
      <c r="F192" t="s">
        <v>367</v>
      </c>
      <c r="G192" t="str">
        <f>"00014704"</f>
        <v>00014704</v>
      </c>
      <c r="H192">
        <v>1023</v>
      </c>
      <c r="I192">
        <v>0</v>
      </c>
      <c r="J192">
        <v>70</v>
      </c>
      <c r="K192">
        <v>30</v>
      </c>
      <c r="L192">
        <v>50</v>
      </c>
      <c r="M192">
        <v>30</v>
      </c>
      <c r="N192">
        <v>0</v>
      </c>
      <c r="O192">
        <v>0</v>
      </c>
      <c r="P192">
        <v>0</v>
      </c>
      <c r="Q192">
        <v>0</v>
      </c>
      <c r="R192">
        <v>84</v>
      </c>
      <c r="S192">
        <v>588</v>
      </c>
      <c r="T192">
        <v>0</v>
      </c>
      <c r="V192">
        <v>0</v>
      </c>
      <c r="W192">
        <v>1791</v>
      </c>
    </row>
    <row r="193" spans="1:23" x14ac:dyDescent="0.25">
      <c r="H193" t="s">
        <v>26</v>
      </c>
    </row>
    <row r="194" spans="1:23" x14ac:dyDescent="0.25">
      <c r="A194">
        <v>94</v>
      </c>
      <c r="B194">
        <v>2506</v>
      </c>
      <c r="C194" t="s">
        <v>368</v>
      </c>
      <c r="D194" t="s">
        <v>53</v>
      </c>
      <c r="E194" t="s">
        <v>369</v>
      </c>
      <c r="F194" t="s">
        <v>370</v>
      </c>
      <c r="G194" t="str">
        <f>"00198021"</f>
        <v>00198021</v>
      </c>
      <c r="H194">
        <v>990</v>
      </c>
      <c r="I194">
        <v>150</v>
      </c>
      <c r="J194">
        <v>30</v>
      </c>
      <c r="K194">
        <v>0</v>
      </c>
      <c r="L194">
        <v>0</v>
      </c>
      <c r="M194">
        <v>30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T194">
        <v>0</v>
      </c>
      <c r="V194">
        <v>0</v>
      </c>
      <c r="W194">
        <v>1788</v>
      </c>
    </row>
    <row r="195" spans="1:23" x14ac:dyDescent="0.25">
      <c r="H195" t="s">
        <v>70</v>
      </c>
    </row>
    <row r="196" spans="1:23" x14ac:dyDescent="0.25">
      <c r="A196">
        <v>95</v>
      </c>
      <c r="B196">
        <v>1934</v>
      </c>
      <c r="C196" t="s">
        <v>371</v>
      </c>
      <c r="D196" t="s">
        <v>273</v>
      </c>
      <c r="E196" t="s">
        <v>372</v>
      </c>
      <c r="F196" t="s">
        <v>373</v>
      </c>
      <c r="G196" t="str">
        <f>"00114442"</f>
        <v>00114442</v>
      </c>
      <c r="H196">
        <v>990</v>
      </c>
      <c r="I196">
        <v>150</v>
      </c>
      <c r="J196">
        <v>30</v>
      </c>
      <c r="K196">
        <v>30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84</v>
      </c>
      <c r="S196">
        <v>588</v>
      </c>
      <c r="T196">
        <v>0</v>
      </c>
      <c r="V196">
        <v>0</v>
      </c>
      <c r="W196">
        <v>1788</v>
      </c>
    </row>
    <row r="197" spans="1:23" x14ac:dyDescent="0.25">
      <c r="H197" t="s">
        <v>70</v>
      </c>
    </row>
    <row r="198" spans="1:23" x14ac:dyDescent="0.25">
      <c r="A198">
        <v>96</v>
      </c>
      <c r="B198">
        <v>540</v>
      </c>
      <c r="C198" t="s">
        <v>374</v>
      </c>
      <c r="D198" t="s">
        <v>61</v>
      </c>
      <c r="E198" t="s">
        <v>79</v>
      </c>
      <c r="F198" t="s">
        <v>375</v>
      </c>
      <c r="G198" t="str">
        <f>"200802005506"</f>
        <v>200802005506</v>
      </c>
      <c r="H198" t="s">
        <v>376</v>
      </c>
      <c r="I198">
        <v>150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84</v>
      </c>
      <c r="S198">
        <v>588</v>
      </c>
      <c r="T198">
        <v>0</v>
      </c>
      <c r="V198">
        <v>0</v>
      </c>
      <c r="W198" t="s">
        <v>377</v>
      </c>
    </row>
    <row r="199" spans="1:23" x14ac:dyDescent="0.25">
      <c r="H199">
        <v>703</v>
      </c>
    </row>
    <row r="200" spans="1:23" x14ac:dyDescent="0.25">
      <c r="A200">
        <v>97</v>
      </c>
      <c r="B200">
        <v>2505</v>
      </c>
      <c r="C200" t="s">
        <v>378</v>
      </c>
      <c r="D200" t="s">
        <v>379</v>
      </c>
      <c r="E200" t="s">
        <v>53</v>
      </c>
      <c r="F200" t="s">
        <v>380</v>
      </c>
      <c r="G200" t="str">
        <f>"200809001068"</f>
        <v>200809001068</v>
      </c>
      <c r="H200">
        <v>1078</v>
      </c>
      <c r="I200">
        <v>0</v>
      </c>
      <c r="J200">
        <v>70</v>
      </c>
      <c r="K200">
        <v>0</v>
      </c>
      <c r="L200">
        <v>50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84</v>
      </c>
      <c r="S200">
        <v>588</v>
      </c>
      <c r="T200">
        <v>0</v>
      </c>
      <c r="V200">
        <v>0</v>
      </c>
      <c r="W200">
        <v>1786</v>
      </c>
    </row>
    <row r="201" spans="1:23" x14ac:dyDescent="0.25">
      <c r="H201" t="s">
        <v>70</v>
      </c>
    </row>
    <row r="202" spans="1:23" x14ac:dyDescent="0.25">
      <c r="A202">
        <v>98</v>
      </c>
      <c r="B202">
        <v>64</v>
      </c>
      <c r="C202" t="s">
        <v>381</v>
      </c>
      <c r="D202" t="s">
        <v>382</v>
      </c>
      <c r="E202" t="s">
        <v>383</v>
      </c>
      <c r="F202" t="s">
        <v>384</v>
      </c>
      <c r="G202" t="str">
        <f>"201511037042"</f>
        <v>201511037042</v>
      </c>
      <c r="H202" t="s">
        <v>385</v>
      </c>
      <c r="I202">
        <v>150</v>
      </c>
      <c r="J202">
        <v>30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84</v>
      </c>
      <c r="S202">
        <v>588</v>
      </c>
      <c r="T202">
        <v>0</v>
      </c>
      <c r="V202">
        <v>2</v>
      </c>
      <c r="W202" t="s">
        <v>386</v>
      </c>
    </row>
    <row r="203" spans="1:23" x14ac:dyDescent="0.25">
      <c r="H203">
        <v>703</v>
      </c>
    </row>
    <row r="204" spans="1:23" x14ac:dyDescent="0.25">
      <c r="A204">
        <v>99</v>
      </c>
      <c r="B204">
        <v>743</v>
      </c>
      <c r="C204" t="s">
        <v>387</v>
      </c>
      <c r="D204" t="s">
        <v>293</v>
      </c>
      <c r="E204" t="s">
        <v>53</v>
      </c>
      <c r="F204" t="s">
        <v>388</v>
      </c>
      <c r="G204" t="str">
        <f>"00005320"</f>
        <v>00005320</v>
      </c>
      <c r="H204" t="s">
        <v>389</v>
      </c>
      <c r="I204">
        <v>150</v>
      </c>
      <c r="J204">
        <v>70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84</v>
      </c>
      <c r="S204">
        <v>588</v>
      </c>
      <c r="T204">
        <v>0</v>
      </c>
      <c r="V204">
        <v>0</v>
      </c>
      <c r="W204" t="s">
        <v>390</v>
      </c>
    </row>
    <row r="205" spans="1:23" x14ac:dyDescent="0.25">
      <c r="H205">
        <v>703</v>
      </c>
    </row>
    <row r="206" spans="1:23" x14ac:dyDescent="0.25">
      <c r="A206">
        <v>100</v>
      </c>
      <c r="B206">
        <v>1639</v>
      </c>
      <c r="C206" t="s">
        <v>391</v>
      </c>
      <c r="D206" t="s">
        <v>392</v>
      </c>
      <c r="E206" t="s">
        <v>393</v>
      </c>
      <c r="F206" t="s">
        <v>394</v>
      </c>
      <c r="G206" t="str">
        <f>"201409004356"</f>
        <v>201409004356</v>
      </c>
      <c r="H206" t="s">
        <v>137</v>
      </c>
      <c r="I206">
        <v>150</v>
      </c>
      <c r="J206">
        <v>50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73</v>
      </c>
      <c r="S206">
        <v>511</v>
      </c>
      <c r="T206">
        <v>0</v>
      </c>
      <c r="V206">
        <v>0</v>
      </c>
      <c r="W206" t="s">
        <v>395</v>
      </c>
    </row>
    <row r="207" spans="1:23" x14ac:dyDescent="0.25">
      <c r="H207">
        <v>703</v>
      </c>
    </row>
    <row r="208" spans="1:23" x14ac:dyDescent="0.25">
      <c r="A208">
        <v>101</v>
      </c>
      <c r="B208">
        <v>1633</v>
      </c>
      <c r="C208" t="s">
        <v>396</v>
      </c>
      <c r="D208" t="s">
        <v>67</v>
      </c>
      <c r="E208" t="s">
        <v>15</v>
      </c>
      <c r="F208" t="s">
        <v>397</v>
      </c>
      <c r="G208" t="str">
        <f>"00207101"</f>
        <v>00207101</v>
      </c>
      <c r="H208" t="s">
        <v>398</v>
      </c>
      <c r="I208">
        <v>150</v>
      </c>
      <c r="J208">
        <v>30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78</v>
      </c>
      <c r="S208">
        <v>546</v>
      </c>
      <c r="T208">
        <v>0</v>
      </c>
      <c r="V208">
        <v>0</v>
      </c>
      <c r="W208" t="s">
        <v>399</v>
      </c>
    </row>
    <row r="209" spans="1:23" x14ac:dyDescent="0.25">
      <c r="H209">
        <v>703</v>
      </c>
    </row>
    <row r="210" spans="1:23" x14ac:dyDescent="0.25">
      <c r="A210">
        <v>102</v>
      </c>
      <c r="B210">
        <v>2768</v>
      </c>
      <c r="C210" t="s">
        <v>400</v>
      </c>
      <c r="D210" t="s">
        <v>401</v>
      </c>
      <c r="E210" t="s">
        <v>24</v>
      </c>
      <c r="F210" t="s">
        <v>402</v>
      </c>
      <c r="G210" t="str">
        <f>"20160705521"</f>
        <v>20160705521</v>
      </c>
      <c r="H210">
        <v>1045</v>
      </c>
      <c r="I210">
        <v>150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84</v>
      </c>
      <c r="S210">
        <v>588</v>
      </c>
      <c r="T210">
        <v>0</v>
      </c>
      <c r="V210">
        <v>0</v>
      </c>
      <c r="W210">
        <v>1783</v>
      </c>
    </row>
    <row r="211" spans="1:23" x14ac:dyDescent="0.25">
      <c r="H211">
        <v>703</v>
      </c>
    </row>
    <row r="212" spans="1:23" x14ac:dyDescent="0.25">
      <c r="A212">
        <v>103</v>
      </c>
      <c r="B212">
        <v>938</v>
      </c>
      <c r="C212" t="s">
        <v>403</v>
      </c>
      <c r="D212" t="s">
        <v>404</v>
      </c>
      <c r="E212" t="s">
        <v>91</v>
      </c>
      <c r="F212" t="s">
        <v>405</v>
      </c>
      <c r="G212" t="str">
        <f>"200712005102"</f>
        <v>200712005102</v>
      </c>
      <c r="H212">
        <v>1045</v>
      </c>
      <c r="I212">
        <v>150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84</v>
      </c>
      <c r="S212">
        <v>588</v>
      </c>
      <c r="T212">
        <v>0</v>
      </c>
      <c r="V212">
        <v>0</v>
      </c>
      <c r="W212">
        <v>1783</v>
      </c>
    </row>
    <row r="213" spans="1:23" x14ac:dyDescent="0.25">
      <c r="H213">
        <v>703</v>
      </c>
    </row>
    <row r="214" spans="1:23" x14ac:dyDescent="0.25">
      <c r="A214">
        <v>104</v>
      </c>
      <c r="B214">
        <v>1878</v>
      </c>
      <c r="C214" t="s">
        <v>403</v>
      </c>
      <c r="D214" t="s">
        <v>406</v>
      </c>
      <c r="E214" t="s">
        <v>68</v>
      </c>
      <c r="F214" t="s">
        <v>407</v>
      </c>
      <c r="G214" t="str">
        <f>"200802006240"</f>
        <v>200802006240</v>
      </c>
      <c r="H214" t="s">
        <v>408</v>
      </c>
      <c r="I214">
        <v>150</v>
      </c>
      <c r="J214">
        <v>30</v>
      </c>
      <c r="K214">
        <v>0</v>
      </c>
      <c r="L214">
        <v>70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84</v>
      </c>
      <c r="S214">
        <v>588</v>
      </c>
      <c r="T214">
        <v>0</v>
      </c>
      <c r="V214">
        <v>0</v>
      </c>
      <c r="W214" t="s">
        <v>409</v>
      </c>
    </row>
    <row r="215" spans="1:23" x14ac:dyDescent="0.25">
      <c r="H215" t="s">
        <v>26</v>
      </c>
    </row>
    <row r="216" spans="1:23" x14ac:dyDescent="0.25">
      <c r="A216">
        <v>105</v>
      </c>
      <c r="B216">
        <v>2062</v>
      </c>
      <c r="C216" t="s">
        <v>410</v>
      </c>
      <c r="D216" t="s">
        <v>14</v>
      </c>
      <c r="E216" t="s">
        <v>109</v>
      </c>
      <c r="F216" t="s">
        <v>411</v>
      </c>
      <c r="G216" t="str">
        <f>"201405000361"</f>
        <v>201405000361</v>
      </c>
      <c r="H216">
        <v>1078</v>
      </c>
      <c r="I216">
        <v>150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79</v>
      </c>
      <c r="S216">
        <v>553</v>
      </c>
      <c r="T216">
        <v>0</v>
      </c>
      <c r="V216">
        <v>0</v>
      </c>
      <c r="W216">
        <v>1781</v>
      </c>
    </row>
    <row r="217" spans="1:23" x14ac:dyDescent="0.25">
      <c r="H217" t="s">
        <v>26</v>
      </c>
    </row>
    <row r="218" spans="1:23" x14ac:dyDescent="0.25">
      <c r="A218">
        <v>106</v>
      </c>
      <c r="B218">
        <v>491</v>
      </c>
      <c r="C218" t="s">
        <v>412</v>
      </c>
      <c r="D218" t="s">
        <v>413</v>
      </c>
      <c r="E218" t="s">
        <v>414</v>
      </c>
      <c r="F218" t="s">
        <v>415</v>
      </c>
      <c r="G218" t="str">
        <f>"00203510"</f>
        <v>00203510</v>
      </c>
      <c r="H218" t="s">
        <v>137</v>
      </c>
      <c r="I218">
        <v>0</v>
      </c>
      <c r="J218">
        <v>70</v>
      </c>
      <c r="K218">
        <v>0</v>
      </c>
      <c r="L218">
        <v>50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84</v>
      </c>
      <c r="S218">
        <v>588</v>
      </c>
      <c r="T218">
        <v>0</v>
      </c>
      <c r="V218">
        <v>2</v>
      </c>
      <c r="W218" t="s">
        <v>416</v>
      </c>
    </row>
    <row r="219" spans="1:23" x14ac:dyDescent="0.25">
      <c r="H219" t="s">
        <v>26</v>
      </c>
    </row>
    <row r="220" spans="1:23" x14ac:dyDescent="0.25">
      <c r="A220">
        <v>107</v>
      </c>
      <c r="B220">
        <v>3166</v>
      </c>
      <c r="C220" t="s">
        <v>417</v>
      </c>
      <c r="D220" t="s">
        <v>155</v>
      </c>
      <c r="E220" t="s">
        <v>113</v>
      </c>
      <c r="F220" t="s">
        <v>418</v>
      </c>
      <c r="G220" t="str">
        <f>"201402012181"</f>
        <v>201402012181</v>
      </c>
      <c r="H220" t="s">
        <v>142</v>
      </c>
      <c r="I220">
        <v>0</v>
      </c>
      <c r="J220">
        <v>70</v>
      </c>
      <c r="K220">
        <v>0</v>
      </c>
      <c r="L220">
        <v>0</v>
      </c>
      <c r="M220">
        <v>30</v>
      </c>
      <c r="N220">
        <v>30</v>
      </c>
      <c r="O220">
        <v>0</v>
      </c>
      <c r="P220">
        <v>0</v>
      </c>
      <c r="Q220">
        <v>0</v>
      </c>
      <c r="R220">
        <v>84</v>
      </c>
      <c r="S220">
        <v>588</v>
      </c>
      <c r="T220">
        <v>0</v>
      </c>
      <c r="V220">
        <v>0</v>
      </c>
      <c r="W220" t="s">
        <v>419</v>
      </c>
    </row>
    <row r="221" spans="1:23" x14ac:dyDescent="0.25">
      <c r="H221" t="s">
        <v>70</v>
      </c>
    </row>
    <row r="222" spans="1:23" x14ac:dyDescent="0.25">
      <c r="A222">
        <v>108</v>
      </c>
      <c r="B222">
        <v>2356</v>
      </c>
      <c r="C222" t="s">
        <v>420</v>
      </c>
      <c r="D222" t="s">
        <v>87</v>
      </c>
      <c r="E222" t="s">
        <v>99</v>
      </c>
      <c r="F222" t="s">
        <v>421</v>
      </c>
      <c r="G222" t="str">
        <f>"201504001078"</f>
        <v>201504001078</v>
      </c>
      <c r="H222">
        <v>935</v>
      </c>
      <c r="I222">
        <v>150</v>
      </c>
      <c r="J222">
        <v>70</v>
      </c>
      <c r="K222">
        <v>50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82</v>
      </c>
      <c r="S222">
        <v>574</v>
      </c>
      <c r="T222">
        <v>0</v>
      </c>
      <c r="V222">
        <v>0</v>
      </c>
      <c r="W222">
        <v>1779</v>
      </c>
    </row>
    <row r="223" spans="1:23" x14ac:dyDescent="0.25">
      <c r="H223" t="s">
        <v>70</v>
      </c>
    </row>
    <row r="224" spans="1:23" x14ac:dyDescent="0.25">
      <c r="A224">
        <v>109</v>
      </c>
      <c r="B224">
        <v>1364</v>
      </c>
      <c r="C224" t="s">
        <v>422</v>
      </c>
      <c r="D224" t="s">
        <v>423</v>
      </c>
      <c r="E224" t="s">
        <v>424</v>
      </c>
      <c r="F224" t="s">
        <v>425</v>
      </c>
      <c r="G224" t="str">
        <f>"00010790"</f>
        <v>00010790</v>
      </c>
      <c r="H224">
        <v>968</v>
      </c>
      <c r="I224">
        <v>150</v>
      </c>
      <c r="J224">
        <v>70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84</v>
      </c>
      <c r="S224">
        <v>588</v>
      </c>
      <c r="T224">
        <v>0</v>
      </c>
      <c r="V224">
        <v>0</v>
      </c>
      <c r="W224">
        <v>1776</v>
      </c>
    </row>
    <row r="225" spans="1:23" x14ac:dyDescent="0.25">
      <c r="H225" t="s">
        <v>26</v>
      </c>
    </row>
    <row r="226" spans="1:23" x14ac:dyDescent="0.25">
      <c r="A226">
        <v>110</v>
      </c>
      <c r="B226">
        <v>2048</v>
      </c>
      <c r="C226" t="s">
        <v>426</v>
      </c>
      <c r="D226" t="s">
        <v>427</v>
      </c>
      <c r="E226" t="s">
        <v>99</v>
      </c>
      <c r="F226" t="s">
        <v>428</v>
      </c>
      <c r="G226" t="str">
        <f>"200801006827"</f>
        <v>200801006827</v>
      </c>
      <c r="H226" t="s">
        <v>429</v>
      </c>
      <c r="I226">
        <v>150</v>
      </c>
      <c r="J226">
        <v>30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84</v>
      </c>
      <c r="S226">
        <v>588</v>
      </c>
      <c r="T226">
        <v>0</v>
      </c>
      <c r="V226">
        <v>0</v>
      </c>
      <c r="W226" t="s">
        <v>430</v>
      </c>
    </row>
    <row r="227" spans="1:23" x14ac:dyDescent="0.25">
      <c r="H227" t="s">
        <v>26</v>
      </c>
    </row>
    <row r="228" spans="1:23" x14ac:dyDescent="0.25">
      <c r="A228">
        <v>111</v>
      </c>
      <c r="B228">
        <v>3019</v>
      </c>
      <c r="C228" t="s">
        <v>431</v>
      </c>
      <c r="D228" t="s">
        <v>432</v>
      </c>
      <c r="E228" t="s">
        <v>433</v>
      </c>
      <c r="F228" t="s">
        <v>434</v>
      </c>
      <c r="G228" t="str">
        <f>"201511017762"</f>
        <v>201511017762</v>
      </c>
      <c r="H228">
        <v>1056</v>
      </c>
      <c r="I228">
        <v>150</v>
      </c>
      <c r="J228">
        <v>70</v>
      </c>
      <c r="K228">
        <v>0</v>
      </c>
      <c r="L228">
        <v>0</v>
      </c>
      <c r="M228">
        <v>0</v>
      </c>
      <c r="N228">
        <v>30</v>
      </c>
      <c r="O228">
        <v>0</v>
      </c>
      <c r="P228">
        <v>0</v>
      </c>
      <c r="Q228">
        <v>0</v>
      </c>
      <c r="R228">
        <v>67</v>
      </c>
      <c r="S228">
        <v>469</v>
      </c>
      <c r="T228">
        <v>0</v>
      </c>
      <c r="V228">
        <v>0</v>
      </c>
      <c r="W228">
        <v>1775</v>
      </c>
    </row>
    <row r="229" spans="1:23" x14ac:dyDescent="0.25">
      <c r="H229" t="s">
        <v>70</v>
      </c>
    </row>
    <row r="230" spans="1:23" x14ac:dyDescent="0.25">
      <c r="A230">
        <v>112</v>
      </c>
      <c r="B230">
        <v>490</v>
      </c>
      <c r="C230" t="s">
        <v>435</v>
      </c>
      <c r="D230" t="s">
        <v>248</v>
      </c>
      <c r="E230" t="s">
        <v>76</v>
      </c>
      <c r="F230" t="s">
        <v>436</v>
      </c>
      <c r="G230" t="str">
        <f>"201511020583"</f>
        <v>201511020583</v>
      </c>
      <c r="H230">
        <v>1056</v>
      </c>
      <c r="I230">
        <v>0</v>
      </c>
      <c r="J230">
        <v>70</v>
      </c>
      <c r="K230">
        <v>30</v>
      </c>
      <c r="L230">
        <v>0</v>
      </c>
      <c r="M230">
        <v>30</v>
      </c>
      <c r="N230">
        <v>0</v>
      </c>
      <c r="O230">
        <v>0</v>
      </c>
      <c r="P230">
        <v>0</v>
      </c>
      <c r="Q230">
        <v>0</v>
      </c>
      <c r="R230">
        <v>84</v>
      </c>
      <c r="S230">
        <v>588</v>
      </c>
      <c r="T230">
        <v>0</v>
      </c>
      <c r="V230">
        <v>0</v>
      </c>
      <c r="W230">
        <v>1774</v>
      </c>
    </row>
    <row r="231" spans="1:23" x14ac:dyDescent="0.25">
      <c r="H231" t="s">
        <v>26</v>
      </c>
    </row>
    <row r="232" spans="1:23" x14ac:dyDescent="0.25">
      <c r="A232">
        <v>113</v>
      </c>
      <c r="B232">
        <v>17</v>
      </c>
      <c r="C232" t="s">
        <v>437</v>
      </c>
      <c r="D232" t="s">
        <v>109</v>
      </c>
      <c r="E232" t="s">
        <v>91</v>
      </c>
      <c r="F232" t="s">
        <v>438</v>
      </c>
      <c r="G232" t="str">
        <f>"201406019263"</f>
        <v>201406019263</v>
      </c>
      <c r="H232" t="s">
        <v>299</v>
      </c>
      <c r="I232">
        <v>150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84</v>
      </c>
      <c r="S232">
        <v>588</v>
      </c>
      <c r="T232">
        <v>0</v>
      </c>
      <c r="V232">
        <v>0</v>
      </c>
      <c r="W232" t="s">
        <v>439</v>
      </c>
    </row>
    <row r="233" spans="1:23" x14ac:dyDescent="0.25">
      <c r="H233">
        <v>703</v>
      </c>
    </row>
    <row r="234" spans="1:23" x14ac:dyDescent="0.25">
      <c r="A234">
        <v>114</v>
      </c>
      <c r="B234">
        <v>2630</v>
      </c>
      <c r="C234" t="s">
        <v>440</v>
      </c>
      <c r="D234" t="s">
        <v>219</v>
      </c>
      <c r="E234" t="s">
        <v>62</v>
      </c>
      <c r="F234" t="s">
        <v>441</v>
      </c>
      <c r="G234" t="str">
        <f>"201511020766"</f>
        <v>201511020766</v>
      </c>
      <c r="H234" t="s">
        <v>49</v>
      </c>
      <c r="I234">
        <v>0</v>
      </c>
      <c r="J234">
        <v>30</v>
      </c>
      <c r="K234">
        <v>70</v>
      </c>
      <c r="L234">
        <v>30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84</v>
      </c>
      <c r="S234">
        <v>588</v>
      </c>
      <c r="T234">
        <v>0</v>
      </c>
      <c r="V234">
        <v>0</v>
      </c>
      <c r="W234" t="s">
        <v>442</v>
      </c>
    </row>
    <row r="235" spans="1:23" x14ac:dyDescent="0.25">
      <c r="H235" t="s">
        <v>70</v>
      </c>
    </row>
    <row r="236" spans="1:23" x14ac:dyDescent="0.25">
      <c r="A236">
        <v>115</v>
      </c>
      <c r="B236">
        <v>3084</v>
      </c>
      <c r="C236" t="s">
        <v>443</v>
      </c>
      <c r="D236" t="s">
        <v>444</v>
      </c>
      <c r="E236" t="s">
        <v>41</v>
      </c>
      <c r="F236" t="s">
        <v>445</v>
      </c>
      <c r="G236" t="str">
        <f>"200712004523"</f>
        <v>200712004523</v>
      </c>
      <c r="H236" t="s">
        <v>446</v>
      </c>
      <c r="I236">
        <v>150</v>
      </c>
      <c r="J236">
        <v>70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84</v>
      </c>
      <c r="S236">
        <v>588</v>
      </c>
      <c r="T236">
        <v>0</v>
      </c>
      <c r="V236">
        <v>0</v>
      </c>
      <c r="W236" t="s">
        <v>447</v>
      </c>
    </row>
    <row r="237" spans="1:23" x14ac:dyDescent="0.25">
      <c r="H237">
        <v>703</v>
      </c>
    </row>
    <row r="238" spans="1:23" x14ac:dyDescent="0.25">
      <c r="A238">
        <v>116</v>
      </c>
      <c r="B238">
        <v>2720</v>
      </c>
      <c r="C238" t="s">
        <v>448</v>
      </c>
      <c r="D238" t="s">
        <v>67</v>
      </c>
      <c r="E238" t="s">
        <v>53</v>
      </c>
      <c r="F238" t="s">
        <v>449</v>
      </c>
      <c r="G238" t="str">
        <f>"00138641"</f>
        <v>00138641</v>
      </c>
      <c r="H238">
        <v>1034</v>
      </c>
      <c r="I238">
        <v>150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84</v>
      </c>
      <c r="S238">
        <v>588</v>
      </c>
      <c r="T238">
        <v>0</v>
      </c>
      <c r="V238">
        <v>2</v>
      </c>
      <c r="W238">
        <v>1772</v>
      </c>
    </row>
    <row r="239" spans="1:23" x14ac:dyDescent="0.25">
      <c r="H239">
        <v>703</v>
      </c>
    </row>
    <row r="240" spans="1:23" x14ac:dyDescent="0.25">
      <c r="A240">
        <v>117</v>
      </c>
      <c r="B240">
        <v>1338</v>
      </c>
      <c r="C240" t="s">
        <v>450</v>
      </c>
      <c r="D240" t="s">
        <v>166</v>
      </c>
      <c r="E240" t="s">
        <v>109</v>
      </c>
      <c r="F240" t="s">
        <v>451</v>
      </c>
      <c r="G240" t="str">
        <f>"00134595"</f>
        <v>00134595</v>
      </c>
      <c r="H240" t="s">
        <v>209</v>
      </c>
      <c r="I240">
        <v>0</v>
      </c>
      <c r="J240">
        <v>70</v>
      </c>
      <c r="K240">
        <v>30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84</v>
      </c>
      <c r="S240">
        <v>588</v>
      </c>
      <c r="T240">
        <v>0</v>
      </c>
      <c r="V240">
        <v>0</v>
      </c>
      <c r="W240" t="s">
        <v>452</v>
      </c>
    </row>
    <row r="241" spans="1:23" x14ac:dyDescent="0.25">
      <c r="H241" t="s">
        <v>26</v>
      </c>
    </row>
    <row r="242" spans="1:23" x14ac:dyDescent="0.25">
      <c r="A242">
        <v>118</v>
      </c>
      <c r="B242">
        <v>746</v>
      </c>
      <c r="C242" t="s">
        <v>453</v>
      </c>
      <c r="D242" t="s">
        <v>454</v>
      </c>
      <c r="E242" t="s">
        <v>99</v>
      </c>
      <c r="F242" t="s">
        <v>455</v>
      </c>
      <c r="G242" t="str">
        <f>"200908000430"</f>
        <v>200908000430</v>
      </c>
      <c r="H242" t="s">
        <v>209</v>
      </c>
      <c r="I242">
        <v>0</v>
      </c>
      <c r="J242">
        <v>70</v>
      </c>
      <c r="K242">
        <v>0</v>
      </c>
      <c r="L242">
        <v>30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84</v>
      </c>
      <c r="S242">
        <v>588</v>
      </c>
      <c r="T242">
        <v>0</v>
      </c>
      <c r="V242">
        <v>0</v>
      </c>
      <c r="W242" t="s">
        <v>452</v>
      </c>
    </row>
    <row r="243" spans="1:23" x14ac:dyDescent="0.25">
      <c r="H243">
        <v>703</v>
      </c>
    </row>
    <row r="244" spans="1:23" x14ac:dyDescent="0.25">
      <c r="A244">
        <v>119</v>
      </c>
      <c r="B244">
        <v>1864</v>
      </c>
      <c r="C244" t="s">
        <v>456</v>
      </c>
      <c r="D244" t="s">
        <v>219</v>
      </c>
      <c r="E244" t="s">
        <v>68</v>
      </c>
      <c r="F244" t="s">
        <v>457</v>
      </c>
      <c r="G244" t="str">
        <f>"200801004898"</f>
        <v>200801004898</v>
      </c>
      <c r="H244" t="s">
        <v>458</v>
      </c>
      <c r="I244">
        <v>150</v>
      </c>
      <c r="J244">
        <v>30</v>
      </c>
      <c r="K244">
        <v>0</v>
      </c>
      <c r="L244">
        <v>0</v>
      </c>
      <c r="M244">
        <v>30</v>
      </c>
      <c r="N244">
        <v>0</v>
      </c>
      <c r="O244">
        <v>0</v>
      </c>
      <c r="P244">
        <v>0</v>
      </c>
      <c r="Q244">
        <v>0</v>
      </c>
      <c r="R244">
        <v>84</v>
      </c>
      <c r="S244">
        <v>588</v>
      </c>
      <c r="T244">
        <v>0</v>
      </c>
      <c r="V244">
        <v>0</v>
      </c>
      <c r="W244" t="s">
        <v>452</v>
      </c>
    </row>
    <row r="245" spans="1:23" x14ac:dyDescent="0.25">
      <c r="H245" t="s">
        <v>70</v>
      </c>
    </row>
    <row r="246" spans="1:23" x14ac:dyDescent="0.25">
      <c r="A246">
        <v>120</v>
      </c>
      <c r="B246">
        <v>2781</v>
      </c>
      <c r="C246" t="s">
        <v>459</v>
      </c>
      <c r="D246" t="s">
        <v>460</v>
      </c>
      <c r="E246" t="s">
        <v>99</v>
      </c>
      <c r="F246" t="s">
        <v>461</v>
      </c>
      <c r="G246" t="str">
        <f>"00224798"</f>
        <v>00224798</v>
      </c>
      <c r="H246" t="s">
        <v>131</v>
      </c>
      <c r="I246">
        <v>150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81</v>
      </c>
      <c r="S246">
        <v>567</v>
      </c>
      <c r="T246">
        <v>0</v>
      </c>
      <c r="V246">
        <v>0</v>
      </c>
      <c r="W246" t="s">
        <v>462</v>
      </c>
    </row>
    <row r="247" spans="1:23" x14ac:dyDescent="0.25">
      <c r="H247">
        <v>703</v>
      </c>
    </row>
    <row r="248" spans="1:23" x14ac:dyDescent="0.25">
      <c r="A248">
        <v>121</v>
      </c>
      <c r="B248">
        <v>3191</v>
      </c>
      <c r="C248" t="s">
        <v>98</v>
      </c>
      <c r="D248" t="s">
        <v>463</v>
      </c>
      <c r="E248" t="s">
        <v>53</v>
      </c>
      <c r="F248" t="s">
        <v>464</v>
      </c>
      <c r="G248" t="str">
        <f>"201402007398"</f>
        <v>201402007398</v>
      </c>
      <c r="H248" t="s">
        <v>465</v>
      </c>
      <c r="I248">
        <v>150</v>
      </c>
      <c r="J248">
        <v>70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84</v>
      </c>
      <c r="S248">
        <v>588</v>
      </c>
      <c r="T248">
        <v>0</v>
      </c>
      <c r="V248">
        <v>0</v>
      </c>
      <c r="W248" t="s">
        <v>466</v>
      </c>
    </row>
    <row r="249" spans="1:23" x14ac:dyDescent="0.25">
      <c r="H249">
        <v>703</v>
      </c>
    </row>
    <row r="250" spans="1:23" x14ac:dyDescent="0.25">
      <c r="A250">
        <v>122</v>
      </c>
      <c r="B250">
        <v>1398</v>
      </c>
      <c r="C250" t="s">
        <v>467</v>
      </c>
      <c r="D250" t="s">
        <v>112</v>
      </c>
      <c r="E250" t="s">
        <v>468</v>
      </c>
      <c r="F250" t="s">
        <v>469</v>
      </c>
      <c r="G250" t="str">
        <f>"201402003776"</f>
        <v>201402003776</v>
      </c>
      <c r="H250" t="s">
        <v>142</v>
      </c>
      <c r="I250">
        <v>0</v>
      </c>
      <c r="J250">
        <v>70</v>
      </c>
      <c r="K250">
        <v>0</v>
      </c>
      <c r="L250">
        <v>50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84</v>
      </c>
      <c r="S250">
        <v>588</v>
      </c>
      <c r="T250">
        <v>0</v>
      </c>
      <c r="V250">
        <v>0</v>
      </c>
      <c r="W250" t="s">
        <v>470</v>
      </c>
    </row>
    <row r="251" spans="1:23" x14ac:dyDescent="0.25">
      <c r="H251" t="s">
        <v>70</v>
      </c>
    </row>
    <row r="252" spans="1:23" x14ac:dyDescent="0.25">
      <c r="A252">
        <v>123</v>
      </c>
      <c r="B252">
        <v>1882</v>
      </c>
      <c r="C252" t="s">
        <v>471</v>
      </c>
      <c r="D252" t="s">
        <v>155</v>
      </c>
      <c r="E252" t="s">
        <v>322</v>
      </c>
      <c r="F252" t="s">
        <v>472</v>
      </c>
      <c r="G252" t="str">
        <f>"201405001073"</f>
        <v>201405001073</v>
      </c>
      <c r="H252" t="s">
        <v>73</v>
      </c>
      <c r="I252">
        <v>0</v>
      </c>
      <c r="J252">
        <v>70</v>
      </c>
      <c r="K252">
        <v>30</v>
      </c>
      <c r="L252">
        <v>0</v>
      </c>
      <c r="M252">
        <v>0</v>
      </c>
      <c r="N252">
        <v>0</v>
      </c>
      <c r="O252">
        <v>0</v>
      </c>
      <c r="P252">
        <v>30</v>
      </c>
      <c r="Q252">
        <v>0</v>
      </c>
      <c r="R252">
        <v>84</v>
      </c>
      <c r="S252">
        <v>588</v>
      </c>
      <c r="T252">
        <v>0</v>
      </c>
      <c r="V252">
        <v>0</v>
      </c>
      <c r="W252" t="s">
        <v>473</v>
      </c>
    </row>
    <row r="253" spans="1:23" x14ac:dyDescent="0.25">
      <c r="H253" t="s">
        <v>70</v>
      </c>
    </row>
    <row r="254" spans="1:23" x14ac:dyDescent="0.25">
      <c r="A254">
        <v>124</v>
      </c>
      <c r="B254">
        <v>3016</v>
      </c>
      <c r="C254" t="s">
        <v>474</v>
      </c>
      <c r="D254" t="s">
        <v>273</v>
      </c>
      <c r="E254" t="s">
        <v>113</v>
      </c>
      <c r="F254" t="s">
        <v>475</v>
      </c>
      <c r="G254" t="str">
        <f>"201511038784"</f>
        <v>201511038784</v>
      </c>
      <c r="H254" t="s">
        <v>232</v>
      </c>
      <c r="I254">
        <v>150</v>
      </c>
      <c r="J254">
        <v>30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73</v>
      </c>
      <c r="S254">
        <v>511</v>
      </c>
      <c r="T254">
        <v>0</v>
      </c>
      <c r="V254">
        <v>0</v>
      </c>
      <c r="W254" t="s">
        <v>476</v>
      </c>
    </row>
    <row r="255" spans="1:23" x14ac:dyDescent="0.25">
      <c r="H255">
        <v>703</v>
      </c>
    </row>
    <row r="256" spans="1:23" x14ac:dyDescent="0.25">
      <c r="A256">
        <v>125</v>
      </c>
      <c r="B256">
        <v>2365</v>
      </c>
      <c r="C256" t="s">
        <v>477</v>
      </c>
      <c r="D256" t="s">
        <v>212</v>
      </c>
      <c r="E256" t="s">
        <v>478</v>
      </c>
      <c r="F256" t="s">
        <v>479</v>
      </c>
      <c r="G256" t="str">
        <f>"201512001360"</f>
        <v>201512001360</v>
      </c>
      <c r="H256" t="s">
        <v>480</v>
      </c>
      <c r="I256">
        <v>150</v>
      </c>
      <c r="J256">
        <v>30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84</v>
      </c>
      <c r="S256">
        <v>588</v>
      </c>
      <c r="T256">
        <v>0</v>
      </c>
      <c r="V256">
        <v>0</v>
      </c>
      <c r="W256" t="s">
        <v>476</v>
      </c>
    </row>
    <row r="257" spans="1:23" x14ac:dyDescent="0.25">
      <c r="H257">
        <v>703</v>
      </c>
    </row>
    <row r="258" spans="1:23" x14ac:dyDescent="0.25">
      <c r="A258">
        <v>126</v>
      </c>
      <c r="B258">
        <v>2888</v>
      </c>
      <c r="C258" t="s">
        <v>481</v>
      </c>
      <c r="D258" t="s">
        <v>392</v>
      </c>
      <c r="E258" t="s">
        <v>482</v>
      </c>
      <c r="F258" t="s">
        <v>483</v>
      </c>
      <c r="G258" t="str">
        <f>"20160706556"</f>
        <v>20160706556</v>
      </c>
      <c r="H258">
        <v>1089</v>
      </c>
      <c r="I258">
        <v>150</v>
      </c>
      <c r="J258">
        <v>30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71</v>
      </c>
      <c r="S258">
        <v>497</v>
      </c>
      <c r="T258">
        <v>0</v>
      </c>
      <c r="V258">
        <v>0</v>
      </c>
      <c r="W258">
        <v>1766</v>
      </c>
    </row>
    <row r="259" spans="1:23" x14ac:dyDescent="0.25">
      <c r="H259">
        <v>703</v>
      </c>
    </row>
    <row r="260" spans="1:23" x14ac:dyDescent="0.25">
      <c r="A260">
        <v>127</v>
      </c>
      <c r="B260">
        <v>1871</v>
      </c>
      <c r="C260" t="s">
        <v>484</v>
      </c>
      <c r="D260" t="s">
        <v>155</v>
      </c>
      <c r="E260" t="s">
        <v>113</v>
      </c>
      <c r="F260" t="s">
        <v>485</v>
      </c>
      <c r="G260" t="str">
        <f>"201504002060"</f>
        <v>201504002060</v>
      </c>
      <c r="H260">
        <v>1078</v>
      </c>
      <c r="I260">
        <v>0</v>
      </c>
      <c r="J260">
        <v>70</v>
      </c>
      <c r="K260">
        <v>0</v>
      </c>
      <c r="L260">
        <v>0</v>
      </c>
      <c r="M260">
        <v>30</v>
      </c>
      <c r="N260">
        <v>0</v>
      </c>
      <c r="O260">
        <v>0</v>
      </c>
      <c r="P260">
        <v>0</v>
      </c>
      <c r="Q260">
        <v>0</v>
      </c>
      <c r="R260">
        <v>84</v>
      </c>
      <c r="S260">
        <v>588</v>
      </c>
      <c r="T260">
        <v>0</v>
      </c>
      <c r="V260">
        <v>0</v>
      </c>
      <c r="W260">
        <v>1766</v>
      </c>
    </row>
    <row r="261" spans="1:23" x14ac:dyDescent="0.25">
      <c r="H261" t="s">
        <v>70</v>
      </c>
    </row>
    <row r="262" spans="1:23" x14ac:dyDescent="0.25">
      <c r="A262">
        <v>128</v>
      </c>
      <c r="B262">
        <v>3161</v>
      </c>
      <c r="C262" t="s">
        <v>486</v>
      </c>
      <c r="D262" t="s">
        <v>112</v>
      </c>
      <c r="E262" t="s">
        <v>109</v>
      </c>
      <c r="F262" t="s">
        <v>487</v>
      </c>
      <c r="G262" t="str">
        <f>"00011817"</f>
        <v>00011817</v>
      </c>
      <c r="H262" t="s">
        <v>385</v>
      </c>
      <c r="I262">
        <v>0</v>
      </c>
      <c r="J262">
        <v>50</v>
      </c>
      <c r="K262">
        <v>50</v>
      </c>
      <c r="L262">
        <v>0</v>
      </c>
      <c r="M262">
        <v>30</v>
      </c>
      <c r="N262">
        <v>30</v>
      </c>
      <c r="O262">
        <v>0</v>
      </c>
      <c r="P262">
        <v>0</v>
      </c>
      <c r="Q262">
        <v>0</v>
      </c>
      <c r="R262">
        <v>84</v>
      </c>
      <c r="S262">
        <v>588</v>
      </c>
      <c r="T262">
        <v>0</v>
      </c>
      <c r="V262">
        <v>0</v>
      </c>
      <c r="W262" t="s">
        <v>488</v>
      </c>
    </row>
    <row r="263" spans="1:23" x14ac:dyDescent="0.25">
      <c r="H263" t="s">
        <v>70</v>
      </c>
    </row>
    <row r="264" spans="1:23" x14ac:dyDescent="0.25">
      <c r="A264">
        <v>129</v>
      </c>
      <c r="B264">
        <v>1216</v>
      </c>
      <c r="C264" t="s">
        <v>489</v>
      </c>
      <c r="D264" t="s">
        <v>46</v>
      </c>
      <c r="E264" t="s">
        <v>109</v>
      </c>
      <c r="F264" t="s">
        <v>490</v>
      </c>
      <c r="G264" t="str">
        <f>"201402000018"</f>
        <v>201402000018</v>
      </c>
      <c r="H264" t="s">
        <v>491</v>
      </c>
      <c r="I264">
        <v>150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84</v>
      </c>
      <c r="S264">
        <v>588</v>
      </c>
      <c r="T264">
        <v>0</v>
      </c>
      <c r="V264">
        <v>0</v>
      </c>
      <c r="W264" t="s">
        <v>492</v>
      </c>
    </row>
    <row r="265" spans="1:23" x14ac:dyDescent="0.25">
      <c r="H265">
        <v>703</v>
      </c>
    </row>
    <row r="266" spans="1:23" x14ac:dyDescent="0.25">
      <c r="A266">
        <v>130</v>
      </c>
      <c r="B266">
        <v>1351</v>
      </c>
      <c r="C266" t="s">
        <v>493</v>
      </c>
      <c r="D266" t="s">
        <v>248</v>
      </c>
      <c r="E266" t="s">
        <v>109</v>
      </c>
      <c r="F266" t="s">
        <v>494</v>
      </c>
      <c r="G266" t="str">
        <f>"00124989"</f>
        <v>00124989</v>
      </c>
      <c r="H266" t="s">
        <v>495</v>
      </c>
      <c r="I266">
        <v>150</v>
      </c>
      <c r="J266">
        <v>70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84</v>
      </c>
      <c r="S266">
        <v>588</v>
      </c>
      <c r="T266">
        <v>0</v>
      </c>
      <c r="V266">
        <v>0</v>
      </c>
      <c r="W266" t="s">
        <v>496</v>
      </c>
    </row>
    <row r="267" spans="1:23" x14ac:dyDescent="0.25">
      <c r="H267">
        <v>703</v>
      </c>
    </row>
    <row r="268" spans="1:23" x14ac:dyDescent="0.25">
      <c r="A268">
        <v>131</v>
      </c>
      <c r="B268">
        <v>2430</v>
      </c>
      <c r="C268" t="s">
        <v>497</v>
      </c>
      <c r="D268" t="s">
        <v>325</v>
      </c>
      <c r="E268" t="s">
        <v>498</v>
      </c>
      <c r="F268" t="s">
        <v>499</v>
      </c>
      <c r="G268" t="str">
        <f>"00192733"</f>
        <v>00192733</v>
      </c>
      <c r="H268">
        <v>1045</v>
      </c>
      <c r="I268">
        <v>150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81</v>
      </c>
      <c r="S268">
        <v>567</v>
      </c>
      <c r="T268">
        <v>0</v>
      </c>
      <c r="V268">
        <v>0</v>
      </c>
      <c r="W268">
        <v>1762</v>
      </c>
    </row>
    <row r="269" spans="1:23" x14ac:dyDescent="0.25">
      <c r="H269">
        <v>703</v>
      </c>
    </row>
    <row r="270" spans="1:23" x14ac:dyDescent="0.25">
      <c r="A270">
        <v>132</v>
      </c>
      <c r="B270">
        <v>377</v>
      </c>
      <c r="C270" t="s">
        <v>500</v>
      </c>
      <c r="D270" t="s">
        <v>501</v>
      </c>
      <c r="E270" t="s">
        <v>227</v>
      </c>
      <c r="F270" t="s">
        <v>502</v>
      </c>
      <c r="G270" t="str">
        <f>"00225157"</f>
        <v>00225157</v>
      </c>
      <c r="H270" t="s">
        <v>458</v>
      </c>
      <c r="I270">
        <v>150</v>
      </c>
      <c r="J270">
        <v>50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84</v>
      </c>
      <c r="S270">
        <v>588</v>
      </c>
      <c r="T270">
        <v>0</v>
      </c>
      <c r="V270">
        <v>0</v>
      </c>
      <c r="W270" t="s">
        <v>503</v>
      </c>
    </row>
    <row r="271" spans="1:23" x14ac:dyDescent="0.25">
      <c r="H271">
        <v>703</v>
      </c>
    </row>
    <row r="272" spans="1:23" x14ac:dyDescent="0.25">
      <c r="A272">
        <v>133</v>
      </c>
      <c r="B272">
        <v>269</v>
      </c>
      <c r="C272" t="s">
        <v>504</v>
      </c>
      <c r="D272" t="s">
        <v>454</v>
      </c>
      <c r="E272" t="s">
        <v>76</v>
      </c>
      <c r="F272" t="s">
        <v>505</v>
      </c>
      <c r="G272" t="str">
        <f>"201406001902"</f>
        <v>201406001902</v>
      </c>
      <c r="H272">
        <v>1067</v>
      </c>
      <c r="I272">
        <v>150</v>
      </c>
      <c r="J272">
        <v>50</v>
      </c>
      <c r="K272">
        <v>0</v>
      </c>
      <c r="L272">
        <v>0</v>
      </c>
      <c r="M272">
        <v>30</v>
      </c>
      <c r="N272">
        <v>30</v>
      </c>
      <c r="O272">
        <v>0</v>
      </c>
      <c r="P272">
        <v>0</v>
      </c>
      <c r="Q272">
        <v>0</v>
      </c>
      <c r="R272">
        <v>62</v>
      </c>
      <c r="S272">
        <v>434</v>
      </c>
      <c r="T272">
        <v>0</v>
      </c>
      <c r="V272">
        <v>0</v>
      </c>
      <c r="W272">
        <v>1761</v>
      </c>
    </row>
    <row r="273" spans="1:23" x14ac:dyDescent="0.25">
      <c r="H273" t="s">
        <v>26</v>
      </c>
    </row>
    <row r="274" spans="1:23" x14ac:dyDescent="0.25">
      <c r="A274">
        <v>134</v>
      </c>
      <c r="B274">
        <v>3128</v>
      </c>
      <c r="C274" t="s">
        <v>506</v>
      </c>
      <c r="D274" t="s">
        <v>444</v>
      </c>
      <c r="E274" t="s">
        <v>91</v>
      </c>
      <c r="F274" t="s">
        <v>507</v>
      </c>
      <c r="G274" t="str">
        <f>"00129564"</f>
        <v>00129564</v>
      </c>
      <c r="H274" t="s">
        <v>137</v>
      </c>
      <c r="I274">
        <v>0</v>
      </c>
      <c r="J274">
        <v>30</v>
      </c>
      <c r="K274">
        <v>70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84</v>
      </c>
      <c r="S274">
        <v>588</v>
      </c>
      <c r="T274">
        <v>0</v>
      </c>
      <c r="V274">
        <v>1</v>
      </c>
      <c r="W274" t="s">
        <v>508</v>
      </c>
    </row>
    <row r="275" spans="1:23" x14ac:dyDescent="0.25">
      <c r="H275" t="s">
        <v>26</v>
      </c>
    </row>
    <row r="276" spans="1:23" x14ac:dyDescent="0.25">
      <c r="A276">
        <v>135</v>
      </c>
      <c r="B276">
        <v>748</v>
      </c>
      <c r="C276" t="s">
        <v>509</v>
      </c>
      <c r="D276" t="s">
        <v>76</v>
      </c>
      <c r="E276" t="s">
        <v>41</v>
      </c>
      <c r="F276" t="s">
        <v>510</v>
      </c>
      <c r="G276" t="str">
        <f>"201607121165"</f>
        <v>201607121165</v>
      </c>
      <c r="H276">
        <v>1034</v>
      </c>
      <c r="I276">
        <v>150</v>
      </c>
      <c r="J276">
        <v>30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78</v>
      </c>
      <c r="S276">
        <v>546</v>
      </c>
      <c r="T276">
        <v>0</v>
      </c>
      <c r="V276">
        <v>0</v>
      </c>
      <c r="W276">
        <v>1760</v>
      </c>
    </row>
    <row r="277" spans="1:23" x14ac:dyDescent="0.25">
      <c r="H277">
        <v>703</v>
      </c>
    </row>
    <row r="278" spans="1:23" x14ac:dyDescent="0.25">
      <c r="A278">
        <v>136</v>
      </c>
      <c r="B278">
        <v>2750</v>
      </c>
      <c r="C278" t="s">
        <v>511</v>
      </c>
      <c r="D278" t="s">
        <v>512</v>
      </c>
      <c r="E278" t="s">
        <v>513</v>
      </c>
      <c r="F278" t="s">
        <v>514</v>
      </c>
      <c r="G278" t="str">
        <f>"00133181"</f>
        <v>00133181</v>
      </c>
      <c r="H278" t="s">
        <v>217</v>
      </c>
      <c r="I278">
        <v>150</v>
      </c>
      <c r="J278">
        <v>70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84</v>
      </c>
      <c r="S278">
        <v>588</v>
      </c>
      <c r="T278">
        <v>0</v>
      </c>
      <c r="V278">
        <v>2</v>
      </c>
      <c r="W278" t="s">
        <v>515</v>
      </c>
    </row>
    <row r="279" spans="1:23" x14ac:dyDescent="0.25">
      <c r="H279">
        <v>703</v>
      </c>
    </row>
    <row r="280" spans="1:23" x14ac:dyDescent="0.25">
      <c r="A280">
        <v>137</v>
      </c>
      <c r="B280">
        <v>3127</v>
      </c>
      <c r="C280" t="s">
        <v>516</v>
      </c>
      <c r="D280" t="s">
        <v>32</v>
      </c>
      <c r="E280" t="s">
        <v>99</v>
      </c>
      <c r="F280" t="s">
        <v>517</v>
      </c>
      <c r="G280" t="str">
        <f>"00128428"</f>
        <v>00128428</v>
      </c>
      <c r="H280" t="s">
        <v>217</v>
      </c>
      <c r="I280">
        <v>150</v>
      </c>
      <c r="J280">
        <v>70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84</v>
      </c>
      <c r="S280">
        <v>588</v>
      </c>
      <c r="T280">
        <v>0</v>
      </c>
      <c r="V280">
        <v>0</v>
      </c>
      <c r="W280" t="s">
        <v>515</v>
      </c>
    </row>
    <row r="281" spans="1:23" x14ac:dyDescent="0.25">
      <c r="H281">
        <v>703</v>
      </c>
    </row>
    <row r="282" spans="1:23" x14ac:dyDescent="0.25">
      <c r="A282">
        <v>138</v>
      </c>
      <c r="B282">
        <v>3156</v>
      </c>
      <c r="C282" t="s">
        <v>518</v>
      </c>
      <c r="D282" t="s">
        <v>519</v>
      </c>
      <c r="E282" t="s">
        <v>91</v>
      </c>
      <c r="F282" t="s">
        <v>520</v>
      </c>
      <c r="G282" t="str">
        <f>"200712003118"</f>
        <v>200712003118</v>
      </c>
      <c r="H282" t="s">
        <v>521</v>
      </c>
      <c r="I282">
        <v>150</v>
      </c>
      <c r="J282">
        <v>50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84</v>
      </c>
      <c r="S282">
        <v>588</v>
      </c>
      <c r="T282">
        <v>0</v>
      </c>
      <c r="V282">
        <v>1</v>
      </c>
      <c r="W282" t="s">
        <v>522</v>
      </c>
    </row>
    <row r="283" spans="1:23" x14ac:dyDescent="0.25">
      <c r="H283" t="s">
        <v>26</v>
      </c>
    </row>
    <row r="284" spans="1:23" x14ac:dyDescent="0.25">
      <c r="A284">
        <v>139</v>
      </c>
      <c r="B284">
        <v>630</v>
      </c>
      <c r="C284" t="s">
        <v>154</v>
      </c>
      <c r="D284" t="s">
        <v>302</v>
      </c>
      <c r="E284" t="s">
        <v>523</v>
      </c>
      <c r="F284" t="s">
        <v>524</v>
      </c>
      <c r="G284" t="str">
        <f>"201407000138"</f>
        <v>201407000138</v>
      </c>
      <c r="H284" t="s">
        <v>209</v>
      </c>
      <c r="I284">
        <v>150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75</v>
      </c>
      <c r="S284">
        <v>525</v>
      </c>
      <c r="T284">
        <v>0</v>
      </c>
      <c r="V284">
        <v>2</v>
      </c>
      <c r="W284" t="s">
        <v>525</v>
      </c>
    </row>
    <row r="285" spans="1:23" x14ac:dyDescent="0.25">
      <c r="H285">
        <v>703</v>
      </c>
    </row>
    <row r="286" spans="1:23" x14ac:dyDescent="0.25">
      <c r="A286">
        <v>140</v>
      </c>
      <c r="B286">
        <v>2034</v>
      </c>
      <c r="C286" t="s">
        <v>526</v>
      </c>
      <c r="D286" t="s">
        <v>527</v>
      </c>
      <c r="E286" t="s">
        <v>156</v>
      </c>
      <c r="F286" t="s">
        <v>528</v>
      </c>
      <c r="G286" t="str">
        <f>"201402007395"</f>
        <v>201402007395</v>
      </c>
      <c r="H286" t="s">
        <v>237</v>
      </c>
      <c r="I286">
        <v>150</v>
      </c>
      <c r="J286">
        <v>70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76</v>
      </c>
      <c r="S286">
        <v>532</v>
      </c>
      <c r="T286">
        <v>0</v>
      </c>
      <c r="V286">
        <v>0</v>
      </c>
      <c r="W286" t="s">
        <v>525</v>
      </c>
    </row>
    <row r="287" spans="1:23" x14ac:dyDescent="0.25">
      <c r="H287">
        <v>703</v>
      </c>
    </row>
    <row r="288" spans="1:23" x14ac:dyDescent="0.25">
      <c r="A288">
        <v>141</v>
      </c>
      <c r="B288">
        <v>489</v>
      </c>
      <c r="C288" t="s">
        <v>529</v>
      </c>
      <c r="D288" t="s">
        <v>109</v>
      </c>
      <c r="E288" t="s">
        <v>37</v>
      </c>
      <c r="F288" t="s">
        <v>530</v>
      </c>
      <c r="G288" t="str">
        <f>"201408000135"</f>
        <v>201408000135</v>
      </c>
      <c r="H288" t="s">
        <v>531</v>
      </c>
      <c r="I288">
        <v>150</v>
      </c>
      <c r="J288">
        <v>50</v>
      </c>
      <c r="K288">
        <v>0</v>
      </c>
      <c r="L288">
        <v>30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84</v>
      </c>
      <c r="S288">
        <v>588</v>
      </c>
      <c r="T288">
        <v>0</v>
      </c>
      <c r="V288">
        <v>0</v>
      </c>
      <c r="W288" t="s">
        <v>525</v>
      </c>
    </row>
    <row r="289" spans="1:23" x14ac:dyDescent="0.25">
      <c r="H289" t="s">
        <v>26</v>
      </c>
    </row>
    <row r="290" spans="1:23" x14ac:dyDescent="0.25">
      <c r="A290">
        <v>142</v>
      </c>
      <c r="B290">
        <v>2734</v>
      </c>
      <c r="C290" t="s">
        <v>532</v>
      </c>
      <c r="D290" t="s">
        <v>41</v>
      </c>
      <c r="E290" t="s">
        <v>533</v>
      </c>
      <c r="F290" t="s">
        <v>534</v>
      </c>
      <c r="G290" t="str">
        <f>"00230422"</f>
        <v>00230422</v>
      </c>
      <c r="H290" t="s">
        <v>385</v>
      </c>
      <c r="I290">
        <v>150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84</v>
      </c>
      <c r="S290">
        <v>588</v>
      </c>
      <c r="T290">
        <v>0</v>
      </c>
      <c r="V290">
        <v>0</v>
      </c>
      <c r="W290" t="s">
        <v>535</v>
      </c>
    </row>
    <row r="291" spans="1:23" x14ac:dyDescent="0.25">
      <c r="H291">
        <v>703</v>
      </c>
    </row>
    <row r="292" spans="1:23" x14ac:dyDescent="0.25">
      <c r="A292">
        <v>143</v>
      </c>
      <c r="B292">
        <v>3067</v>
      </c>
      <c r="C292" t="s">
        <v>536</v>
      </c>
      <c r="D292" t="s">
        <v>185</v>
      </c>
      <c r="E292" t="s">
        <v>47</v>
      </c>
      <c r="F292" t="s">
        <v>537</v>
      </c>
      <c r="G292" t="str">
        <f>"00020576"</f>
        <v>00020576</v>
      </c>
      <c r="H292">
        <v>946</v>
      </c>
      <c r="I292">
        <v>150</v>
      </c>
      <c r="J292">
        <v>70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84</v>
      </c>
      <c r="S292">
        <v>588</v>
      </c>
      <c r="T292">
        <v>0</v>
      </c>
      <c r="V292">
        <v>0</v>
      </c>
      <c r="W292">
        <v>1754</v>
      </c>
    </row>
    <row r="293" spans="1:23" x14ac:dyDescent="0.25">
      <c r="H293">
        <v>703</v>
      </c>
    </row>
    <row r="294" spans="1:23" x14ac:dyDescent="0.25">
      <c r="A294">
        <v>144</v>
      </c>
      <c r="B294">
        <v>3149</v>
      </c>
      <c r="C294" t="s">
        <v>538</v>
      </c>
      <c r="D294" t="s">
        <v>539</v>
      </c>
      <c r="E294" t="s">
        <v>109</v>
      </c>
      <c r="F294" t="s">
        <v>540</v>
      </c>
      <c r="G294" t="str">
        <f>"00224994"</f>
        <v>00224994</v>
      </c>
      <c r="H294">
        <v>1045</v>
      </c>
      <c r="I294">
        <v>0</v>
      </c>
      <c r="J294">
        <v>70</v>
      </c>
      <c r="K294">
        <v>50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84</v>
      </c>
      <c r="S294">
        <v>588</v>
      </c>
      <c r="T294">
        <v>0</v>
      </c>
      <c r="V294">
        <v>0</v>
      </c>
      <c r="W294">
        <v>1753</v>
      </c>
    </row>
    <row r="295" spans="1:23" x14ac:dyDescent="0.25">
      <c r="H295" t="s">
        <v>70</v>
      </c>
    </row>
    <row r="296" spans="1:23" x14ac:dyDescent="0.25">
      <c r="A296">
        <v>145</v>
      </c>
      <c r="B296">
        <v>217</v>
      </c>
      <c r="C296" t="s">
        <v>541</v>
      </c>
      <c r="D296" t="s">
        <v>46</v>
      </c>
      <c r="E296" t="s">
        <v>37</v>
      </c>
      <c r="F296" t="s">
        <v>542</v>
      </c>
      <c r="G296" t="str">
        <f>"201406013330"</f>
        <v>201406013330</v>
      </c>
      <c r="H296">
        <v>1045</v>
      </c>
      <c r="I296">
        <v>0</v>
      </c>
      <c r="J296">
        <v>50</v>
      </c>
      <c r="K296">
        <v>70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84</v>
      </c>
      <c r="S296">
        <v>588</v>
      </c>
      <c r="T296">
        <v>0</v>
      </c>
      <c r="V296">
        <v>0</v>
      </c>
      <c r="W296">
        <v>1753</v>
      </c>
    </row>
    <row r="297" spans="1:23" x14ac:dyDescent="0.25">
      <c r="H297" t="s">
        <v>70</v>
      </c>
    </row>
    <row r="298" spans="1:23" x14ac:dyDescent="0.25">
      <c r="A298">
        <v>146</v>
      </c>
      <c r="B298">
        <v>2832</v>
      </c>
      <c r="C298" t="s">
        <v>543</v>
      </c>
      <c r="D298" t="s">
        <v>544</v>
      </c>
      <c r="E298" t="s">
        <v>53</v>
      </c>
      <c r="F298" t="s">
        <v>545</v>
      </c>
      <c r="G298" t="str">
        <f>"00013886"</f>
        <v>00013886</v>
      </c>
      <c r="H298" t="s">
        <v>17</v>
      </c>
      <c r="I298">
        <v>150</v>
      </c>
      <c r="J298">
        <v>30</v>
      </c>
      <c r="K298">
        <v>0</v>
      </c>
      <c r="L298">
        <v>0</v>
      </c>
      <c r="M298">
        <v>30</v>
      </c>
      <c r="N298">
        <v>0</v>
      </c>
      <c r="O298">
        <v>0</v>
      </c>
      <c r="P298">
        <v>0</v>
      </c>
      <c r="Q298">
        <v>0</v>
      </c>
      <c r="R298">
        <v>64</v>
      </c>
      <c r="S298">
        <v>448</v>
      </c>
      <c r="T298">
        <v>0</v>
      </c>
      <c r="V298">
        <v>2</v>
      </c>
      <c r="W298" t="s">
        <v>546</v>
      </c>
    </row>
    <row r="299" spans="1:23" x14ac:dyDescent="0.25">
      <c r="H299" t="s">
        <v>547</v>
      </c>
    </row>
    <row r="300" spans="1:23" x14ac:dyDescent="0.25">
      <c r="A300">
        <v>147</v>
      </c>
      <c r="B300">
        <v>3136</v>
      </c>
      <c r="C300" t="s">
        <v>548</v>
      </c>
      <c r="D300" t="s">
        <v>46</v>
      </c>
      <c r="E300" t="s">
        <v>47</v>
      </c>
      <c r="F300" t="s">
        <v>549</v>
      </c>
      <c r="G300" t="str">
        <f>"201511020601"</f>
        <v>201511020601</v>
      </c>
      <c r="H300">
        <v>1023</v>
      </c>
      <c r="I300">
        <v>0</v>
      </c>
      <c r="J300">
        <v>70</v>
      </c>
      <c r="K300">
        <v>70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84</v>
      </c>
      <c r="S300">
        <v>588</v>
      </c>
      <c r="T300">
        <v>0</v>
      </c>
      <c r="V300">
        <v>0</v>
      </c>
      <c r="W300">
        <v>1751</v>
      </c>
    </row>
    <row r="301" spans="1:23" x14ac:dyDescent="0.25">
      <c r="H301" t="s">
        <v>550</v>
      </c>
    </row>
    <row r="302" spans="1:23" x14ac:dyDescent="0.25">
      <c r="A302">
        <v>148</v>
      </c>
      <c r="B302">
        <v>1843</v>
      </c>
      <c r="C302" t="s">
        <v>551</v>
      </c>
      <c r="D302" t="s">
        <v>552</v>
      </c>
      <c r="E302" t="s">
        <v>76</v>
      </c>
      <c r="F302" t="s">
        <v>553</v>
      </c>
      <c r="G302" t="str">
        <f>"200809000853"</f>
        <v>200809000853</v>
      </c>
      <c r="H302" t="s">
        <v>465</v>
      </c>
      <c r="I302">
        <v>150</v>
      </c>
      <c r="J302">
        <v>50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84</v>
      </c>
      <c r="S302">
        <v>588</v>
      </c>
      <c r="T302">
        <v>0</v>
      </c>
      <c r="V302">
        <v>2</v>
      </c>
      <c r="W302" t="s">
        <v>554</v>
      </c>
    </row>
    <row r="303" spans="1:23" x14ac:dyDescent="0.25">
      <c r="H303" t="s">
        <v>70</v>
      </c>
    </row>
    <row r="304" spans="1:23" x14ac:dyDescent="0.25">
      <c r="A304">
        <v>149</v>
      </c>
      <c r="B304">
        <v>1982</v>
      </c>
      <c r="C304" t="s">
        <v>555</v>
      </c>
      <c r="D304" t="s">
        <v>556</v>
      </c>
      <c r="E304" t="s">
        <v>109</v>
      </c>
      <c r="F304" t="s">
        <v>557</v>
      </c>
      <c r="G304" t="str">
        <f>"00224091"</f>
        <v>00224091</v>
      </c>
      <c r="H304">
        <v>1012</v>
      </c>
      <c r="I304">
        <v>150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84</v>
      </c>
      <c r="S304">
        <v>588</v>
      </c>
      <c r="T304">
        <v>0</v>
      </c>
      <c r="V304">
        <v>0</v>
      </c>
      <c r="W304">
        <v>1750</v>
      </c>
    </row>
    <row r="305" spans="1:23" x14ac:dyDescent="0.25">
      <c r="H305">
        <v>703</v>
      </c>
    </row>
    <row r="306" spans="1:23" x14ac:dyDescent="0.25">
      <c r="A306">
        <v>150</v>
      </c>
      <c r="B306">
        <v>105</v>
      </c>
      <c r="C306" t="s">
        <v>558</v>
      </c>
      <c r="D306" t="s">
        <v>194</v>
      </c>
      <c r="E306" t="s">
        <v>24</v>
      </c>
      <c r="F306" t="s">
        <v>559</v>
      </c>
      <c r="G306" t="str">
        <f>"201511027454"</f>
        <v>201511027454</v>
      </c>
      <c r="H306">
        <v>1012</v>
      </c>
      <c r="I306">
        <v>150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84</v>
      </c>
      <c r="S306">
        <v>588</v>
      </c>
      <c r="T306">
        <v>0</v>
      </c>
      <c r="V306">
        <v>1</v>
      </c>
      <c r="W306">
        <v>1750</v>
      </c>
    </row>
    <row r="307" spans="1:23" x14ac:dyDescent="0.25">
      <c r="H307">
        <v>703</v>
      </c>
    </row>
    <row r="308" spans="1:23" x14ac:dyDescent="0.25">
      <c r="A308">
        <v>151</v>
      </c>
      <c r="B308">
        <v>2610</v>
      </c>
      <c r="C308" t="s">
        <v>560</v>
      </c>
      <c r="D308" t="s">
        <v>561</v>
      </c>
      <c r="E308" t="s">
        <v>53</v>
      </c>
      <c r="F308" t="s">
        <v>562</v>
      </c>
      <c r="G308" t="str">
        <f>"201402008249"</f>
        <v>201402008249</v>
      </c>
      <c r="H308">
        <v>1012</v>
      </c>
      <c r="I308">
        <v>150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84</v>
      </c>
      <c r="S308">
        <v>588</v>
      </c>
      <c r="T308">
        <v>0</v>
      </c>
      <c r="V308">
        <v>0</v>
      </c>
      <c r="W308">
        <v>1750</v>
      </c>
    </row>
    <row r="309" spans="1:23" x14ac:dyDescent="0.25">
      <c r="H309">
        <v>703</v>
      </c>
    </row>
    <row r="310" spans="1:23" x14ac:dyDescent="0.25">
      <c r="A310">
        <v>152</v>
      </c>
      <c r="B310">
        <v>2612</v>
      </c>
      <c r="C310" t="s">
        <v>563</v>
      </c>
      <c r="D310" t="s">
        <v>273</v>
      </c>
      <c r="E310" t="s">
        <v>113</v>
      </c>
      <c r="F310" t="s">
        <v>564</v>
      </c>
      <c r="G310" t="str">
        <f>"00012424"</f>
        <v>00012424</v>
      </c>
      <c r="H310" t="s">
        <v>217</v>
      </c>
      <c r="I310">
        <v>150</v>
      </c>
      <c r="J310">
        <v>30</v>
      </c>
      <c r="K310">
        <v>30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84</v>
      </c>
      <c r="S310">
        <v>588</v>
      </c>
      <c r="T310">
        <v>0</v>
      </c>
      <c r="V310">
        <v>3</v>
      </c>
      <c r="W310" t="s">
        <v>565</v>
      </c>
    </row>
    <row r="311" spans="1:23" x14ac:dyDescent="0.25">
      <c r="H311" t="s">
        <v>26</v>
      </c>
    </row>
    <row r="312" spans="1:23" x14ac:dyDescent="0.25">
      <c r="A312">
        <v>153</v>
      </c>
      <c r="B312">
        <v>2849</v>
      </c>
      <c r="C312" t="s">
        <v>566</v>
      </c>
      <c r="D312" t="s">
        <v>40</v>
      </c>
      <c r="E312" t="s">
        <v>91</v>
      </c>
      <c r="F312" t="s">
        <v>567</v>
      </c>
      <c r="G312" t="str">
        <f>"00041686"</f>
        <v>00041686</v>
      </c>
      <c r="H312" t="s">
        <v>217</v>
      </c>
      <c r="I312">
        <v>150</v>
      </c>
      <c r="J312">
        <v>30</v>
      </c>
      <c r="K312">
        <v>0</v>
      </c>
      <c r="L312">
        <v>0</v>
      </c>
      <c r="M312">
        <v>30</v>
      </c>
      <c r="N312">
        <v>0</v>
      </c>
      <c r="O312">
        <v>0</v>
      </c>
      <c r="P312">
        <v>0</v>
      </c>
      <c r="Q312">
        <v>0</v>
      </c>
      <c r="R312">
        <v>84</v>
      </c>
      <c r="S312">
        <v>588</v>
      </c>
      <c r="T312">
        <v>0</v>
      </c>
      <c r="V312">
        <v>0</v>
      </c>
      <c r="W312" t="s">
        <v>565</v>
      </c>
    </row>
    <row r="313" spans="1:23" x14ac:dyDescent="0.25">
      <c r="H313" t="s">
        <v>70</v>
      </c>
    </row>
    <row r="314" spans="1:23" x14ac:dyDescent="0.25">
      <c r="A314">
        <v>154</v>
      </c>
      <c r="B314">
        <v>2890</v>
      </c>
      <c r="C314" t="s">
        <v>568</v>
      </c>
      <c r="D314" t="s">
        <v>226</v>
      </c>
      <c r="E314" t="s">
        <v>76</v>
      </c>
      <c r="F314" t="s">
        <v>569</v>
      </c>
      <c r="G314" t="str">
        <f>"00027518"</f>
        <v>00027518</v>
      </c>
      <c r="H314" t="s">
        <v>570</v>
      </c>
      <c r="I314">
        <v>0</v>
      </c>
      <c r="J314">
        <v>70</v>
      </c>
      <c r="K314">
        <v>50</v>
      </c>
      <c r="L314">
        <v>30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84</v>
      </c>
      <c r="S314">
        <v>588</v>
      </c>
      <c r="T314">
        <v>0</v>
      </c>
      <c r="V314">
        <v>0</v>
      </c>
      <c r="W314" t="s">
        <v>571</v>
      </c>
    </row>
    <row r="315" spans="1:23" x14ac:dyDescent="0.25">
      <c r="H315" t="s">
        <v>70</v>
      </c>
    </row>
    <row r="316" spans="1:23" x14ac:dyDescent="0.25">
      <c r="A316">
        <v>155</v>
      </c>
      <c r="B316">
        <v>2743</v>
      </c>
      <c r="C316" t="s">
        <v>572</v>
      </c>
      <c r="D316" t="s">
        <v>140</v>
      </c>
      <c r="E316" t="s">
        <v>109</v>
      </c>
      <c r="F316" t="s">
        <v>573</v>
      </c>
      <c r="G316" t="str">
        <f>"201304001499"</f>
        <v>201304001499</v>
      </c>
      <c r="H316" t="s">
        <v>574</v>
      </c>
      <c r="I316">
        <v>150</v>
      </c>
      <c r="J316">
        <v>70</v>
      </c>
      <c r="K316">
        <v>0</v>
      </c>
      <c r="L316">
        <v>0</v>
      </c>
      <c r="M316">
        <v>30</v>
      </c>
      <c r="N316">
        <v>0</v>
      </c>
      <c r="O316">
        <v>0</v>
      </c>
      <c r="P316">
        <v>0</v>
      </c>
      <c r="Q316">
        <v>0</v>
      </c>
      <c r="R316">
        <v>84</v>
      </c>
      <c r="S316">
        <v>588</v>
      </c>
      <c r="T316">
        <v>0</v>
      </c>
      <c r="V316">
        <v>0</v>
      </c>
      <c r="W316" t="s">
        <v>575</v>
      </c>
    </row>
    <row r="317" spans="1:23" x14ac:dyDescent="0.25">
      <c r="H317" t="s">
        <v>26</v>
      </c>
    </row>
    <row r="318" spans="1:23" x14ac:dyDescent="0.25">
      <c r="A318">
        <v>156</v>
      </c>
      <c r="B318">
        <v>2496</v>
      </c>
      <c r="C318" t="s">
        <v>576</v>
      </c>
      <c r="D318" t="s">
        <v>577</v>
      </c>
      <c r="E318" t="s">
        <v>129</v>
      </c>
      <c r="F318" t="s">
        <v>578</v>
      </c>
      <c r="G318" t="str">
        <f>"00008731"</f>
        <v>00008731</v>
      </c>
      <c r="H318" t="s">
        <v>579</v>
      </c>
      <c r="I318">
        <v>150</v>
      </c>
      <c r="J318">
        <v>30</v>
      </c>
      <c r="K318">
        <v>30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84</v>
      </c>
      <c r="S318">
        <v>588</v>
      </c>
      <c r="T318">
        <v>0</v>
      </c>
      <c r="V318">
        <v>0</v>
      </c>
      <c r="W318" t="s">
        <v>580</v>
      </c>
    </row>
    <row r="319" spans="1:23" x14ac:dyDescent="0.25">
      <c r="H319" t="s">
        <v>70</v>
      </c>
    </row>
    <row r="320" spans="1:23" x14ac:dyDescent="0.25">
      <c r="A320">
        <v>157</v>
      </c>
      <c r="B320">
        <v>1307</v>
      </c>
      <c r="C320" t="s">
        <v>581</v>
      </c>
      <c r="D320" t="s">
        <v>273</v>
      </c>
      <c r="E320" t="s">
        <v>53</v>
      </c>
      <c r="F320" t="s">
        <v>582</v>
      </c>
      <c r="G320" t="str">
        <f>"201407000058"</f>
        <v>201407000058</v>
      </c>
      <c r="H320" t="s">
        <v>583</v>
      </c>
      <c r="I320">
        <v>150</v>
      </c>
      <c r="J320">
        <v>50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84</v>
      </c>
      <c r="S320">
        <v>588</v>
      </c>
      <c r="T320">
        <v>0</v>
      </c>
      <c r="V320">
        <v>0</v>
      </c>
      <c r="W320" t="s">
        <v>584</v>
      </c>
    </row>
    <row r="321" spans="1:23" x14ac:dyDescent="0.25">
      <c r="H321">
        <v>703</v>
      </c>
    </row>
    <row r="322" spans="1:23" x14ac:dyDescent="0.25">
      <c r="A322">
        <v>158</v>
      </c>
      <c r="B322">
        <v>1732</v>
      </c>
      <c r="C322" t="s">
        <v>585</v>
      </c>
      <c r="D322" t="s">
        <v>285</v>
      </c>
      <c r="E322" t="s">
        <v>99</v>
      </c>
      <c r="F322" t="s">
        <v>586</v>
      </c>
      <c r="G322" t="str">
        <f>"201211000046"</f>
        <v>201211000046</v>
      </c>
      <c r="H322">
        <v>979</v>
      </c>
      <c r="I322">
        <v>150</v>
      </c>
      <c r="J322">
        <v>30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84</v>
      </c>
      <c r="S322">
        <v>588</v>
      </c>
      <c r="T322">
        <v>0</v>
      </c>
      <c r="V322">
        <v>0</v>
      </c>
      <c r="W322">
        <v>1747</v>
      </c>
    </row>
    <row r="323" spans="1:23" x14ac:dyDescent="0.25">
      <c r="H323" t="s">
        <v>587</v>
      </c>
    </row>
    <row r="324" spans="1:23" x14ac:dyDescent="0.25">
      <c r="A324">
        <v>159</v>
      </c>
      <c r="B324">
        <v>1236</v>
      </c>
      <c r="C324" t="s">
        <v>588</v>
      </c>
      <c r="D324" t="s">
        <v>112</v>
      </c>
      <c r="E324" t="s">
        <v>41</v>
      </c>
      <c r="F324" t="s">
        <v>589</v>
      </c>
      <c r="G324" t="str">
        <f>"201510000413"</f>
        <v>201510000413</v>
      </c>
      <c r="H324">
        <v>979</v>
      </c>
      <c r="I324">
        <v>150</v>
      </c>
      <c r="J324">
        <v>30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84</v>
      </c>
      <c r="S324">
        <v>588</v>
      </c>
      <c r="T324">
        <v>0</v>
      </c>
      <c r="V324">
        <v>0</v>
      </c>
      <c r="W324">
        <v>1747</v>
      </c>
    </row>
    <row r="325" spans="1:23" x14ac:dyDescent="0.25">
      <c r="H325" t="s">
        <v>26</v>
      </c>
    </row>
    <row r="326" spans="1:23" x14ac:dyDescent="0.25">
      <c r="A326">
        <v>160</v>
      </c>
      <c r="B326">
        <v>1251</v>
      </c>
      <c r="C326" t="s">
        <v>590</v>
      </c>
      <c r="D326" t="s">
        <v>591</v>
      </c>
      <c r="E326" t="s">
        <v>592</v>
      </c>
      <c r="F326" t="s">
        <v>593</v>
      </c>
      <c r="G326" t="str">
        <f>"201510003392"</f>
        <v>201510003392</v>
      </c>
      <c r="H326" t="s">
        <v>594</v>
      </c>
      <c r="I326">
        <v>150</v>
      </c>
      <c r="J326">
        <v>30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84</v>
      </c>
      <c r="S326">
        <v>588</v>
      </c>
      <c r="T326">
        <v>0</v>
      </c>
      <c r="V326">
        <v>0</v>
      </c>
      <c r="W326" t="s">
        <v>595</v>
      </c>
    </row>
    <row r="327" spans="1:23" x14ac:dyDescent="0.25">
      <c r="H327">
        <v>703</v>
      </c>
    </row>
    <row r="328" spans="1:23" x14ac:dyDescent="0.25">
      <c r="A328">
        <v>161</v>
      </c>
      <c r="B328">
        <v>2439</v>
      </c>
      <c r="C328" t="s">
        <v>596</v>
      </c>
      <c r="D328" t="s">
        <v>597</v>
      </c>
      <c r="E328" t="s">
        <v>24</v>
      </c>
      <c r="F328" t="s">
        <v>598</v>
      </c>
      <c r="G328" t="str">
        <f>"201511012513"</f>
        <v>201511012513</v>
      </c>
      <c r="H328" t="s">
        <v>237</v>
      </c>
      <c r="I328">
        <v>150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84</v>
      </c>
      <c r="S328">
        <v>588</v>
      </c>
      <c r="T328">
        <v>0</v>
      </c>
      <c r="V328">
        <v>0</v>
      </c>
      <c r="W328" t="s">
        <v>599</v>
      </c>
    </row>
    <row r="329" spans="1:23" x14ac:dyDescent="0.25">
      <c r="H329">
        <v>703</v>
      </c>
    </row>
    <row r="330" spans="1:23" x14ac:dyDescent="0.25">
      <c r="A330">
        <v>162</v>
      </c>
      <c r="B330">
        <v>1759</v>
      </c>
      <c r="C330" t="s">
        <v>600</v>
      </c>
      <c r="D330" t="s">
        <v>219</v>
      </c>
      <c r="E330" t="s">
        <v>303</v>
      </c>
      <c r="F330" t="s">
        <v>601</v>
      </c>
      <c r="G330" t="str">
        <f>"201406007339"</f>
        <v>201406007339</v>
      </c>
      <c r="H330">
        <v>1056</v>
      </c>
      <c r="I330">
        <v>0</v>
      </c>
      <c r="J330">
        <v>70</v>
      </c>
      <c r="K330">
        <v>0</v>
      </c>
      <c r="L330">
        <v>0</v>
      </c>
      <c r="M330">
        <v>0</v>
      </c>
      <c r="N330">
        <v>30</v>
      </c>
      <c r="O330">
        <v>0</v>
      </c>
      <c r="P330">
        <v>0</v>
      </c>
      <c r="Q330">
        <v>0</v>
      </c>
      <c r="R330">
        <v>84</v>
      </c>
      <c r="S330">
        <v>588</v>
      </c>
      <c r="T330">
        <v>0</v>
      </c>
      <c r="V330">
        <v>0</v>
      </c>
      <c r="W330">
        <v>1744</v>
      </c>
    </row>
    <row r="331" spans="1:23" x14ac:dyDescent="0.25">
      <c r="H331" t="s">
        <v>26</v>
      </c>
    </row>
    <row r="332" spans="1:23" x14ac:dyDescent="0.25">
      <c r="A332">
        <v>163</v>
      </c>
      <c r="B332">
        <v>1823</v>
      </c>
      <c r="C332" t="s">
        <v>602</v>
      </c>
      <c r="D332" t="s">
        <v>53</v>
      </c>
      <c r="E332" t="s">
        <v>603</v>
      </c>
      <c r="F332" t="s">
        <v>604</v>
      </c>
      <c r="G332" t="str">
        <f>"200802008019"</f>
        <v>200802008019</v>
      </c>
      <c r="H332">
        <v>1056</v>
      </c>
      <c r="I332">
        <v>0</v>
      </c>
      <c r="J332">
        <v>70</v>
      </c>
      <c r="K332">
        <v>0</v>
      </c>
      <c r="L332">
        <v>30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84</v>
      </c>
      <c r="S332">
        <v>588</v>
      </c>
      <c r="T332">
        <v>0</v>
      </c>
      <c r="V332">
        <v>0</v>
      </c>
      <c r="W332">
        <v>1744</v>
      </c>
    </row>
    <row r="333" spans="1:23" x14ac:dyDescent="0.25">
      <c r="H333" t="s">
        <v>70</v>
      </c>
    </row>
    <row r="334" spans="1:23" x14ac:dyDescent="0.25">
      <c r="A334">
        <v>164</v>
      </c>
      <c r="B334">
        <v>3117</v>
      </c>
      <c r="C334" t="s">
        <v>605</v>
      </c>
      <c r="D334" t="s">
        <v>606</v>
      </c>
      <c r="E334" t="s">
        <v>607</v>
      </c>
      <c r="F334" t="s">
        <v>608</v>
      </c>
      <c r="G334" t="str">
        <f>"00022518"</f>
        <v>00022518</v>
      </c>
      <c r="H334">
        <v>935</v>
      </c>
      <c r="I334">
        <v>150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70</v>
      </c>
      <c r="R334">
        <v>84</v>
      </c>
      <c r="S334">
        <v>588</v>
      </c>
      <c r="T334">
        <v>0</v>
      </c>
      <c r="V334">
        <v>0</v>
      </c>
      <c r="W334">
        <v>1743</v>
      </c>
    </row>
    <row r="335" spans="1:23" x14ac:dyDescent="0.25">
      <c r="H335">
        <v>703</v>
      </c>
    </row>
    <row r="336" spans="1:23" x14ac:dyDescent="0.25">
      <c r="A336">
        <v>165</v>
      </c>
      <c r="B336">
        <v>2136</v>
      </c>
      <c r="C336" t="s">
        <v>609</v>
      </c>
      <c r="D336" t="s">
        <v>610</v>
      </c>
      <c r="E336" t="s">
        <v>53</v>
      </c>
      <c r="F336" t="s">
        <v>611</v>
      </c>
      <c r="G336" t="str">
        <f>"00144754"</f>
        <v>00144754</v>
      </c>
      <c r="H336">
        <v>935</v>
      </c>
      <c r="I336">
        <v>150</v>
      </c>
      <c r="J336">
        <v>70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84</v>
      </c>
      <c r="S336">
        <v>588</v>
      </c>
      <c r="T336">
        <v>0</v>
      </c>
      <c r="V336">
        <v>0</v>
      </c>
      <c r="W336">
        <v>1743</v>
      </c>
    </row>
    <row r="337" spans="1:23" x14ac:dyDescent="0.25">
      <c r="H337">
        <v>703</v>
      </c>
    </row>
    <row r="338" spans="1:23" x14ac:dyDescent="0.25">
      <c r="A338">
        <v>166</v>
      </c>
      <c r="B338">
        <v>3086</v>
      </c>
      <c r="C338" t="s">
        <v>612</v>
      </c>
      <c r="D338" t="s">
        <v>76</v>
      </c>
      <c r="E338" t="s">
        <v>15</v>
      </c>
      <c r="F338" t="s">
        <v>613</v>
      </c>
      <c r="G338" t="str">
        <f>"201511023232"</f>
        <v>201511023232</v>
      </c>
      <c r="H338" t="s">
        <v>495</v>
      </c>
      <c r="I338">
        <v>150</v>
      </c>
      <c r="J338">
        <v>50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84</v>
      </c>
      <c r="S338">
        <v>588</v>
      </c>
      <c r="T338">
        <v>0</v>
      </c>
      <c r="V338">
        <v>0</v>
      </c>
      <c r="W338" t="s">
        <v>614</v>
      </c>
    </row>
    <row r="339" spans="1:23" x14ac:dyDescent="0.25">
      <c r="H339" t="s">
        <v>26</v>
      </c>
    </row>
    <row r="340" spans="1:23" x14ac:dyDescent="0.25">
      <c r="A340">
        <v>167</v>
      </c>
      <c r="B340">
        <v>1335</v>
      </c>
      <c r="C340" t="s">
        <v>615</v>
      </c>
      <c r="D340" t="s">
        <v>616</v>
      </c>
      <c r="E340" t="s">
        <v>617</v>
      </c>
      <c r="F340" t="s">
        <v>618</v>
      </c>
      <c r="G340" t="str">
        <f>"201510001729"</f>
        <v>201510001729</v>
      </c>
      <c r="H340" t="s">
        <v>93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70</v>
      </c>
      <c r="Q340">
        <v>0</v>
      </c>
      <c r="R340">
        <v>84</v>
      </c>
      <c r="S340">
        <v>588</v>
      </c>
      <c r="T340">
        <v>0</v>
      </c>
      <c r="V340">
        <v>0</v>
      </c>
      <c r="W340" t="s">
        <v>619</v>
      </c>
    </row>
    <row r="341" spans="1:23" x14ac:dyDescent="0.25">
      <c r="H341">
        <v>703</v>
      </c>
    </row>
    <row r="342" spans="1:23" x14ac:dyDescent="0.25">
      <c r="A342">
        <v>168</v>
      </c>
      <c r="B342">
        <v>2072</v>
      </c>
      <c r="C342" t="s">
        <v>620</v>
      </c>
      <c r="D342" t="s">
        <v>20</v>
      </c>
      <c r="E342" t="s">
        <v>99</v>
      </c>
      <c r="F342" t="s">
        <v>621</v>
      </c>
      <c r="G342" t="str">
        <f>"201410008322"</f>
        <v>201410008322</v>
      </c>
      <c r="H342" t="s">
        <v>622</v>
      </c>
      <c r="I342">
        <v>150</v>
      </c>
      <c r="J342">
        <v>30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84</v>
      </c>
      <c r="S342">
        <v>588</v>
      </c>
      <c r="T342">
        <v>0</v>
      </c>
      <c r="V342">
        <v>0</v>
      </c>
      <c r="W342" t="s">
        <v>619</v>
      </c>
    </row>
    <row r="343" spans="1:23" x14ac:dyDescent="0.25">
      <c r="H343" t="s">
        <v>26</v>
      </c>
    </row>
    <row r="344" spans="1:23" x14ac:dyDescent="0.25">
      <c r="A344">
        <v>169</v>
      </c>
      <c r="B344">
        <v>264</v>
      </c>
      <c r="C344" t="s">
        <v>623</v>
      </c>
      <c r="D344" t="s">
        <v>382</v>
      </c>
      <c r="E344" t="s">
        <v>369</v>
      </c>
      <c r="F344" t="s">
        <v>624</v>
      </c>
      <c r="G344" t="str">
        <f>"200801000204"</f>
        <v>200801000204</v>
      </c>
      <c r="H344" t="s">
        <v>622</v>
      </c>
      <c r="I344">
        <v>150</v>
      </c>
      <c r="J344">
        <v>30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84</v>
      </c>
      <c r="S344">
        <v>588</v>
      </c>
      <c r="T344">
        <v>0</v>
      </c>
      <c r="V344">
        <v>0</v>
      </c>
      <c r="W344" t="s">
        <v>619</v>
      </c>
    </row>
    <row r="345" spans="1:23" x14ac:dyDescent="0.25">
      <c r="H345" t="s">
        <v>26</v>
      </c>
    </row>
    <row r="346" spans="1:23" x14ac:dyDescent="0.25">
      <c r="A346">
        <v>170</v>
      </c>
      <c r="B346">
        <v>1018</v>
      </c>
      <c r="C346" t="s">
        <v>625</v>
      </c>
      <c r="D346" t="s">
        <v>626</v>
      </c>
      <c r="E346" t="s">
        <v>33</v>
      </c>
      <c r="F346" t="s">
        <v>627</v>
      </c>
      <c r="G346" t="str">
        <f>"00222585"</f>
        <v>00222585</v>
      </c>
      <c r="H346" t="s">
        <v>622</v>
      </c>
      <c r="I346">
        <v>150</v>
      </c>
      <c r="J346">
        <v>30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84</v>
      </c>
      <c r="S346">
        <v>588</v>
      </c>
      <c r="T346">
        <v>0</v>
      </c>
      <c r="V346">
        <v>2</v>
      </c>
      <c r="W346" t="s">
        <v>619</v>
      </c>
    </row>
    <row r="347" spans="1:23" x14ac:dyDescent="0.25">
      <c r="H347">
        <v>703</v>
      </c>
    </row>
    <row r="348" spans="1:23" x14ac:dyDescent="0.25">
      <c r="A348">
        <v>171</v>
      </c>
      <c r="B348">
        <v>640</v>
      </c>
      <c r="C348" t="s">
        <v>628</v>
      </c>
      <c r="D348" t="s">
        <v>629</v>
      </c>
      <c r="E348" t="s">
        <v>58</v>
      </c>
      <c r="F348" t="s">
        <v>630</v>
      </c>
      <c r="G348" t="str">
        <f>"200802005411"</f>
        <v>200802005411</v>
      </c>
      <c r="H348" t="s">
        <v>202</v>
      </c>
      <c r="I348">
        <v>0</v>
      </c>
      <c r="J348">
        <v>70</v>
      </c>
      <c r="K348">
        <v>30</v>
      </c>
      <c r="L348">
        <v>70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84</v>
      </c>
      <c r="S348">
        <v>588</v>
      </c>
      <c r="T348">
        <v>0</v>
      </c>
      <c r="V348">
        <v>0</v>
      </c>
      <c r="W348" t="s">
        <v>631</v>
      </c>
    </row>
    <row r="349" spans="1:23" x14ac:dyDescent="0.25">
      <c r="H349" t="s">
        <v>70</v>
      </c>
    </row>
    <row r="350" spans="1:23" x14ac:dyDescent="0.25">
      <c r="A350">
        <v>172</v>
      </c>
      <c r="B350">
        <v>182</v>
      </c>
      <c r="C350" t="s">
        <v>632</v>
      </c>
      <c r="D350" t="s">
        <v>463</v>
      </c>
      <c r="E350" t="s">
        <v>523</v>
      </c>
      <c r="F350" t="s">
        <v>633</v>
      </c>
      <c r="G350" t="str">
        <f>"201511037340"</f>
        <v>201511037340</v>
      </c>
      <c r="H350" t="s">
        <v>270</v>
      </c>
      <c r="I350">
        <v>150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84</v>
      </c>
      <c r="S350">
        <v>588</v>
      </c>
      <c r="T350">
        <v>0</v>
      </c>
      <c r="V350">
        <v>0</v>
      </c>
      <c r="W350" t="s">
        <v>634</v>
      </c>
    </row>
    <row r="351" spans="1:23" x14ac:dyDescent="0.25">
      <c r="H351" t="s">
        <v>26</v>
      </c>
    </row>
    <row r="352" spans="1:23" x14ac:dyDescent="0.25">
      <c r="A352">
        <v>173</v>
      </c>
      <c r="B352">
        <v>3129</v>
      </c>
      <c r="C352" t="s">
        <v>635</v>
      </c>
      <c r="D352" t="s">
        <v>392</v>
      </c>
      <c r="E352" t="s">
        <v>592</v>
      </c>
      <c r="F352" t="s">
        <v>636</v>
      </c>
      <c r="G352" t="str">
        <f>"201411001628"</f>
        <v>201411001628</v>
      </c>
      <c r="H352">
        <v>1034</v>
      </c>
      <c r="I352">
        <v>0</v>
      </c>
      <c r="J352">
        <v>70</v>
      </c>
      <c r="K352">
        <v>0</v>
      </c>
      <c r="L352">
        <v>0</v>
      </c>
      <c r="M352">
        <v>50</v>
      </c>
      <c r="N352">
        <v>0</v>
      </c>
      <c r="O352">
        <v>0</v>
      </c>
      <c r="P352">
        <v>0</v>
      </c>
      <c r="Q352">
        <v>0</v>
      </c>
      <c r="R352">
        <v>84</v>
      </c>
      <c r="S352">
        <v>588</v>
      </c>
      <c r="T352">
        <v>0</v>
      </c>
      <c r="V352">
        <v>0</v>
      </c>
      <c r="W352">
        <v>1742</v>
      </c>
    </row>
    <row r="353" spans="1:23" x14ac:dyDescent="0.25">
      <c r="H353" t="s">
        <v>26</v>
      </c>
    </row>
    <row r="354" spans="1:23" x14ac:dyDescent="0.25">
      <c r="A354">
        <v>174</v>
      </c>
      <c r="B354">
        <v>1283</v>
      </c>
      <c r="C354" t="s">
        <v>637</v>
      </c>
      <c r="D354" t="s">
        <v>112</v>
      </c>
      <c r="E354" t="s">
        <v>76</v>
      </c>
      <c r="F354" t="s">
        <v>638</v>
      </c>
      <c r="G354" t="str">
        <f>"200803001041"</f>
        <v>200803001041</v>
      </c>
      <c r="H354" t="s">
        <v>458</v>
      </c>
      <c r="I354">
        <v>150</v>
      </c>
      <c r="J354">
        <v>30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84</v>
      </c>
      <c r="S354">
        <v>588</v>
      </c>
      <c r="T354">
        <v>0</v>
      </c>
      <c r="V354">
        <v>0</v>
      </c>
      <c r="W354" t="s">
        <v>639</v>
      </c>
    </row>
    <row r="355" spans="1:23" x14ac:dyDescent="0.25">
      <c r="H355">
        <v>703</v>
      </c>
    </row>
    <row r="356" spans="1:23" x14ac:dyDescent="0.25">
      <c r="A356">
        <v>175</v>
      </c>
      <c r="B356">
        <v>2331</v>
      </c>
      <c r="C356" t="s">
        <v>640</v>
      </c>
      <c r="D356" t="s">
        <v>46</v>
      </c>
      <c r="E356" t="s">
        <v>109</v>
      </c>
      <c r="F356" t="s">
        <v>641</v>
      </c>
      <c r="G356" t="str">
        <f>"200804000663"</f>
        <v>200804000663</v>
      </c>
      <c r="H356" t="s">
        <v>458</v>
      </c>
      <c r="I356">
        <v>150</v>
      </c>
      <c r="J356">
        <v>30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84</v>
      </c>
      <c r="S356">
        <v>588</v>
      </c>
      <c r="T356">
        <v>0</v>
      </c>
      <c r="V356">
        <v>0</v>
      </c>
      <c r="W356" t="s">
        <v>639</v>
      </c>
    </row>
    <row r="357" spans="1:23" x14ac:dyDescent="0.25">
      <c r="H357">
        <v>703</v>
      </c>
    </row>
    <row r="358" spans="1:23" x14ac:dyDescent="0.25">
      <c r="A358">
        <v>176</v>
      </c>
      <c r="B358">
        <v>794</v>
      </c>
      <c r="C358" t="s">
        <v>642</v>
      </c>
      <c r="D358" t="s">
        <v>105</v>
      </c>
      <c r="E358" t="s">
        <v>91</v>
      </c>
      <c r="F358" t="s">
        <v>643</v>
      </c>
      <c r="G358" t="str">
        <f>"00140379"</f>
        <v>00140379</v>
      </c>
      <c r="H358" t="s">
        <v>644</v>
      </c>
      <c r="I358">
        <v>150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84</v>
      </c>
      <c r="S358">
        <v>588</v>
      </c>
      <c r="T358">
        <v>0</v>
      </c>
      <c r="V358">
        <v>0</v>
      </c>
      <c r="W358" t="s">
        <v>645</v>
      </c>
    </row>
    <row r="359" spans="1:23" x14ac:dyDescent="0.25">
      <c r="H359">
        <v>703</v>
      </c>
    </row>
    <row r="360" spans="1:23" x14ac:dyDescent="0.25">
      <c r="A360">
        <v>177</v>
      </c>
      <c r="B360">
        <v>1385</v>
      </c>
      <c r="C360" t="s">
        <v>646</v>
      </c>
      <c r="D360" t="s">
        <v>46</v>
      </c>
      <c r="E360" t="s">
        <v>109</v>
      </c>
      <c r="F360" t="s">
        <v>647</v>
      </c>
      <c r="G360" t="str">
        <f>"201412003914"</f>
        <v>201412003914</v>
      </c>
      <c r="H360">
        <v>1100</v>
      </c>
      <c r="I360">
        <v>150</v>
      </c>
      <c r="J360">
        <v>70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60</v>
      </c>
      <c r="S360">
        <v>420</v>
      </c>
      <c r="T360">
        <v>0</v>
      </c>
      <c r="V360">
        <v>0</v>
      </c>
      <c r="W360">
        <v>1740</v>
      </c>
    </row>
    <row r="361" spans="1:23" x14ac:dyDescent="0.25">
      <c r="H361">
        <v>703</v>
      </c>
    </row>
    <row r="362" spans="1:23" x14ac:dyDescent="0.25">
      <c r="A362">
        <v>178</v>
      </c>
      <c r="B362">
        <v>1409</v>
      </c>
      <c r="C362" t="s">
        <v>648</v>
      </c>
      <c r="D362" t="s">
        <v>185</v>
      </c>
      <c r="E362" t="s">
        <v>322</v>
      </c>
      <c r="F362" t="s">
        <v>649</v>
      </c>
      <c r="G362" t="str">
        <f>"201405002115"</f>
        <v>201405002115</v>
      </c>
      <c r="H362" t="s">
        <v>177</v>
      </c>
      <c r="I362">
        <v>0</v>
      </c>
      <c r="J362">
        <v>70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84</v>
      </c>
      <c r="S362">
        <v>588</v>
      </c>
      <c r="T362">
        <v>0</v>
      </c>
      <c r="V362">
        <v>0</v>
      </c>
      <c r="W362" t="s">
        <v>650</v>
      </c>
    </row>
    <row r="363" spans="1:23" x14ac:dyDescent="0.25">
      <c r="H363">
        <v>703</v>
      </c>
    </row>
    <row r="364" spans="1:23" x14ac:dyDescent="0.25">
      <c r="A364">
        <v>179</v>
      </c>
      <c r="B364">
        <v>455</v>
      </c>
      <c r="C364" t="s">
        <v>651</v>
      </c>
      <c r="D364" t="s">
        <v>40</v>
      </c>
      <c r="E364" t="s">
        <v>21</v>
      </c>
      <c r="F364" t="s">
        <v>652</v>
      </c>
      <c r="G364" t="str">
        <f>"201408000072"</f>
        <v>201408000072</v>
      </c>
      <c r="H364">
        <v>1001</v>
      </c>
      <c r="I364">
        <v>150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84</v>
      </c>
      <c r="S364">
        <v>588</v>
      </c>
      <c r="T364">
        <v>0</v>
      </c>
      <c r="V364">
        <v>0</v>
      </c>
      <c r="W364">
        <v>1739</v>
      </c>
    </row>
    <row r="365" spans="1:23" x14ac:dyDescent="0.25">
      <c r="H365">
        <v>703</v>
      </c>
    </row>
    <row r="366" spans="1:23" x14ac:dyDescent="0.25">
      <c r="A366">
        <v>180</v>
      </c>
      <c r="B366">
        <v>1002</v>
      </c>
      <c r="C366" t="s">
        <v>653</v>
      </c>
      <c r="D366" t="s">
        <v>273</v>
      </c>
      <c r="E366" t="s">
        <v>654</v>
      </c>
      <c r="F366" t="s">
        <v>655</v>
      </c>
      <c r="G366" t="str">
        <f>"00042088"</f>
        <v>00042088</v>
      </c>
      <c r="H366">
        <v>1001</v>
      </c>
      <c r="I366">
        <v>0</v>
      </c>
      <c r="J366">
        <v>70</v>
      </c>
      <c r="K366">
        <v>30</v>
      </c>
      <c r="L366">
        <v>50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84</v>
      </c>
      <c r="S366">
        <v>588</v>
      </c>
      <c r="T366">
        <v>0</v>
      </c>
      <c r="V366">
        <v>0</v>
      </c>
      <c r="W366">
        <v>1739</v>
      </c>
    </row>
    <row r="367" spans="1:23" x14ac:dyDescent="0.25">
      <c r="H367" t="s">
        <v>26</v>
      </c>
    </row>
    <row r="368" spans="1:23" x14ac:dyDescent="0.25">
      <c r="A368">
        <v>181</v>
      </c>
      <c r="B368">
        <v>1620</v>
      </c>
      <c r="C368" t="s">
        <v>656</v>
      </c>
      <c r="D368" t="s">
        <v>91</v>
      </c>
      <c r="E368" t="s">
        <v>607</v>
      </c>
      <c r="F368" t="s">
        <v>657</v>
      </c>
      <c r="G368" t="str">
        <f>"200905000500"</f>
        <v>200905000500</v>
      </c>
      <c r="H368" t="s">
        <v>480</v>
      </c>
      <c r="I368">
        <v>0</v>
      </c>
      <c r="J368">
        <v>50</v>
      </c>
      <c r="K368">
        <v>0</v>
      </c>
      <c r="L368">
        <v>0</v>
      </c>
      <c r="M368">
        <v>70</v>
      </c>
      <c r="N368">
        <v>30</v>
      </c>
      <c r="O368">
        <v>0</v>
      </c>
      <c r="P368">
        <v>0</v>
      </c>
      <c r="Q368">
        <v>0</v>
      </c>
      <c r="R368">
        <v>84</v>
      </c>
      <c r="S368">
        <v>588</v>
      </c>
      <c r="T368">
        <v>0</v>
      </c>
      <c r="V368">
        <v>0</v>
      </c>
      <c r="W368" t="s">
        <v>658</v>
      </c>
    </row>
    <row r="369" spans="1:23" x14ac:dyDescent="0.25">
      <c r="H369">
        <v>703</v>
      </c>
    </row>
    <row r="370" spans="1:23" x14ac:dyDescent="0.25">
      <c r="A370">
        <v>182</v>
      </c>
      <c r="B370">
        <v>1624</v>
      </c>
      <c r="C370" t="s">
        <v>659</v>
      </c>
      <c r="D370" t="s">
        <v>660</v>
      </c>
      <c r="E370" t="s">
        <v>424</v>
      </c>
      <c r="F370" t="s">
        <v>661</v>
      </c>
      <c r="G370" t="str">
        <f>"00153683"</f>
        <v>00153683</v>
      </c>
      <c r="H370" t="s">
        <v>662</v>
      </c>
      <c r="I370">
        <v>150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84</v>
      </c>
      <c r="S370">
        <v>588</v>
      </c>
      <c r="T370">
        <v>0</v>
      </c>
      <c r="V370">
        <v>0</v>
      </c>
      <c r="W370" t="s">
        <v>663</v>
      </c>
    </row>
    <row r="371" spans="1:23" x14ac:dyDescent="0.25">
      <c r="H371">
        <v>703</v>
      </c>
    </row>
    <row r="372" spans="1:23" x14ac:dyDescent="0.25">
      <c r="A372">
        <v>183</v>
      </c>
      <c r="B372">
        <v>1199</v>
      </c>
      <c r="C372" t="s">
        <v>664</v>
      </c>
      <c r="D372" t="s">
        <v>665</v>
      </c>
      <c r="E372" t="s">
        <v>53</v>
      </c>
      <c r="F372" t="s">
        <v>666</v>
      </c>
      <c r="G372" t="str">
        <f>"201406000239"</f>
        <v>201406000239</v>
      </c>
      <c r="H372" t="s">
        <v>667</v>
      </c>
      <c r="I372">
        <v>150</v>
      </c>
      <c r="J372">
        <v>30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83</v>
      </c>
      <c r="S372">
        <v>581</v>
      </c>
      <c r="T372">
        <v>0</v>
      </c>
      <c r="V372">
        <v>0</v>
      </c>
      <c r="W372" t="s">
        <v>668</v>
      </c>
    </row>
    <row r="373" spans="1:23" x14ac:dyDescent="0.25">
      <c r="H373">
        <v>703</v>
      </c>
    </row>
    <row r="374" spans="1:23" x14ac:dyDescent="0.25">
      <c r="A374">
        <v>184</v>
      </c>
      <c r="B374">
        <v>905</v>
      </c>
      <c r="C374" t="s">
        <v>669</v>
      </c>
      <c r="D374" t="s">
        <v>670</v>
      </c>
      <c r="E374" t="s">
        <v>76</v>
      </c>
      <c r="F374" t="s">
        <v>671</v>
      </c>
      <c r="G374" t="str">
        <f>"00230119"</f>
        <v>00230119</v>
      </c>
      <c r="H374" t="s">
        <v>672</v>
      </c>
      <c r="I374">
        <v>150</v>
      </c>
      <c r="J374">
        <v>30</v>
      </c>
      <c r="K374">
        <v>0</v>
      </c>
      <c r="L374">
        <v>30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84</v>
      </c>
      <c r="S374">
        <v>588</v>
      </c>
      <c r="T374">
        <v>0</v>
      </c>
      <c r="V374">
        <v>0</v>
      </c>
      <c r="W374" t="s">
        <v>673</v>
      </c>
    </row>
    <row r="375" spans="1:23" x14ac:dyDescent="0.25">
      <c r="H375" t="s">
        <v>26</v>
      </c>
    </row>
    <row r="376" spans="1:23" x14ac:dyDescent="0.25">
      <c r="A376">
        <v>185</v>
      </c>
      <c r="B376">
        <v>3107</v>
      </c>
      <c r="C376" t="s">
        <v>674</v>
      </c>
      <c r="D376" t="s">
        <v>67</v>
      </c>
      <c r="E376" t="s">
        <v>91</v>
      </c>
      <c r="F376" t="s">
        <v>675</v>
      </c>
      <c r="G376" t="str">
        <f>"00220433"</f>
        <v>00220433</v>
      </c>
      <c r="H376">
        <v>957</v>
      </c>
      <c r="I376">
        <v>0</v>
      </c>
      <c r="J376">
        <v>70</v>
      </c>
      <c r="K376">
        <v>0</v>
      </c>
      <c r="L376">
        <v>0</v>
      </c>
      <c r="M376">
        <v>70</v>
      </c>
      <c r="N376">
        <v>50</v>
      </c>
      <c r="O376">
        <v>0</v>
      </c>
      <c r="P376">
        <v>0</v>
      </c>
      <c r="Q376">
        <v>0</v>
      </c>
      <c r="R376">
        <v>84</v>
      </c>
      <c r="S376">
        <v>588</v>
      </c>
      <c r="T376">
        <v>0</v>
      </c>
      <c r="V376">
        <v>0</v>
      </c>
      <c r="W376">
        <v>1735</v>
      </c>
    </row>
    <row r="377" spans="1:23" x14ac:dyDescent="0.25">
      <c r="H377" t="s">
        <v>70</v>
      </c>
    </row>
    <row r="378" spans="1:23" x14ac:dyDescent="0.25">
      <c r="A378">
        <v>186</v>
      </c>
      <c r="B378">
        <v>934</v>
      </c>
      <c r="C378" t="s">
        <v>676</v>
      </c>
      <c r="D378" t="s">
        <v>677</v>
      </c>
      <c r="E378" t="s">
        <v>76</v>
      </c>
      <c r="F378" t="s">
        <v>678</v>
      </c>
      <c r="G378" t="str">
        <f>"00124765"</f>
        <v>00124765</v>
      </c>
      <c r="H378" t="s">
        <v>358</v>
      </c>
      <c r="I378">
        <v>0</v>
      </c>
      <c r="J378">
        <v>70</v>
      </c>
      <c r="K378">
        <v>0</v>
      </c>
      <c r="L378">
        <v>50</v>
      </c>
      <c r="M378">
        <v>0</v>
      </c>
      <c r="N378">
        <v>30</v>
      </c>
      <c r="O378">
        <v>0</v>
      </c>
      <c r="P378">
        <v>0</v>
      </c>
      <c r="Q378">
        <v>0</v>
      </c>
      <c r="R378">
        <v>84</v>
      </c>
      <c r="S378">
        <v>588</v>
      </c>
      <c r="T378">
        <v>0</v>
      </c>
      <c r="V378">
        <v>0</v>
      </c>
      <c r="W378" t="s">
        <v>679</v>
      </c>
    </row>
    <row r="379" spans="1:23" x14ac:dyDescent="0.25">
      <c r="H379" t="s">
        <v>70</v>
      </c>
    </row>
    <row r="380" spans="1:23" x14ac:dyDescent="0.25">
      <c r="A380">
        <v>187</v>
      </c>
      <c r="B380">
        <v>2749</v>
      </c>
      <c r="C380" t="s">
        <v>680</v>
      </c>
      <c r="D380" t="s">
        <v>501</v>
      </c>
      <c r="E380" t="s">
        <v>53</v>
      </c>
      <c r="F380" t="s">
        <v>681</v>
      </c>
      <c r="G380" t="str">
        <f>"201506002295"</f>
        <v>201506002295</v>
      </c>
      <c r="H380">
        <v>1045</v>
      </c>
      <c r="I380">
        <v>0</v>
      </c>
      <c r="J380">
        <v>70</v>
      </c>
      <c r="K380">
        <v>30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84</v>
      </c>
      <c r="S380">
        <v>588</v>
      </c>
      <c r="T380">
        <v>0</v>
      </c>
      <c r="V380">
        <v>0</v>
      </c>
      <c r="W380">
        <v>1733</v>
      </c>
    </row>
    <row r="381" spans="1:23" x14ac:dyDescent="0.25">
      <c r="H381" t="s">
        <v>70</v>
      </c>
    </row>
    <row r="382" spans="1:23" x14ac:dyDescent="0.25">
      <c r="A382">
        <v>188</v>
      </c>
      <c r="B382">
        <v>1643</v>
      </c>
      <c r="C382" t="s">
        <v>682</v>
      </c>
      <c r="D382" t="s">
        <v>207</v>
      </c>
      <c r="E382" t="s">
        <v>91</v>
      </c>
      <c r="F382" t="s">
        <v>683</v>
      </c>
      <c r="G382" t="str">
        <f>"00141652"</f>
        <v>00141652</v>
      </c>
      <c r="H382">
        <v>935</v>
      </c>
      <c r="I382">
        <v>150</v>
      </c>
      <c r="J382">
        <v>30</v>
      </c>
      <c r="K382">
        <v>0</v>
      </c>
      <c r="L382">
        <v>30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84</v>
      </c>
      <c r="S382">
        <v>588</v>
      </c>
      <c r="T382">
        <v>0</v>
      </c>
      <c r="V382">
        <v>0</v>
      </c>
      <c r="W382">
        <v>1733</v>
      </c>
    </row>
    <row r="383" spans="1:23" x14ac:dyDescent="0.25">
      <c r="H383" t="s">
        <v>70</v>
      </c>
    </row>
    <row r="384" spans="1:23" x14ac:dyDescent="0.25">
      <c r="A384">
        <v>189</v>
      </c>
      <c r="B384">
        <v>223</v>
      </c>
      <c r="C384" t="s">
        <v>684</v>
      </c>
      <c r="D384" t="s">
        <v>258</v>
      </c>
      <c r="E384" t="s">
        <v>109</v>
      </c>
      <c r="F384" t="s">
        <v>685</v>
      </c>
      <c r="G384" t="str">
        <f>"00150091"</f>
        <v>00150091</v>
      </c>
      <c r="H384">
        <v>924</v>
      </c>
      <c r="I384">
        <v>150</v>
      </c>
      <c r="J384">
        <v>70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84</v>
      </c>
      <c r="S384">
        <v>588</v>
      </c>
      <c r="T384">
        <v>0</v>
      </c>
      <c r="V384">
        <v>0</v>
      </c>
      <c r="W384">
        <v>1732</v>
      </c>
    </row>
    <row r="385" spans="1:23" x14ac:dyDescent="0.25">
      <c r="H385" t="s">
        <v>26</v>
      </c>
    </row>
    <row r="386" spans="1:23" x14ac:dyDescent="0.25">
      <c r="A386">
        <v>190</v>
      </c>
      <c r="B386">
        <v>255</v>
      </c>
      <c r="C386" t="s">
        <v>686</v>
      </c>
      <c r="D386" t="s">
        <v>382</v>
      </c>
      <c r="E386" t="s">
        <v>105</v>
      </c>
      <c r="F386" t="s">
        <v>687</v>
      </c>
      <c r="G386" t="str">
        <f>"201405002336"</f>
        <v>201405002336</v>
      </c>
      <c r="H386" t="s">
        <v>137</v>
      </c>
      <c r="I386">
        <v>0</v>
      </c>
      <c r="J386">
        <v>70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84</v>
      </c>
      <c r="S386">
        <v>588</v>
      </c>
      <c r="T386">
        <v>0</v>
      </c>
      <c r="V386">
        <v>1</v>
      </c>
      <c r="W386" t="s">
        <v>688</v>
      </c>
    </row>
    <row r="387" spans="1:23" x14ac:dyDescent="0.25">
      <c r="H387">
        <v>703</v>
      </c>
    </row>
    <row r="388" spans="1:23" x14ac:dyDescent="0.25">
      <c r="A388">
        <v>191</v>
      </c>
      <c r="B388">
        <v>2243</v>
      </c>
      <c r="C388" t="s">
        <v>689</v>
      </c>
      <c r="D388" t="s">
        <v>20</v>
      </c>
      <c r="E388" t="s">
        <v>91</v>
      </c>
      <c r="F388" t="s">
        <v>690</v>
      </c>
      <c r="G388" t="str">
        <f>"201304000332"</f>
        <v>201304000332</v>
      </c>
      <c r="H388">
        <v>935</v>
      </c>
      <c r="I388">
        <v>150</v>
      </c>
      <c r="J388">
        <v>70</v>
      </c>
      <c r="K388">
        <v>0</v>
      </c>
      <c r="L388">
        <v>0</v>
      </c>
      <c r="M388">
        <v>50</v>
      </c>
      <c r="N388">
        <v>0</v>
      </c>
      <c r="O388">
        <v>0</v>
      </c>
      <c r="P388">
        <v>0</v>
      </c>
      <c r="Q388">
        <v>0</v>
      </c>
      <c r="R388">
        <v>75</v>
      </c>
      <c r="S388">
        <v>525</v>
      </c>
      <c r="T388">
        <v>0</v>
      </c>
      <c r="V388">
        <v>2</v>
      </c>
      <c r="W388">
        <v>1730</v>
      </c>
    </row>
    <row r="389" spans="1:23" x14ac:dyDescent="0.25">
      <c r="H389" t="s">
        <v>26</v>
      </c>
    </row>
    <row r="390" spans="1:23" x14ac:dyDescent="0.25">
      <c r="A390">
        <v>192</v>
      </c>
      <c r="B390">
        <v>836</v>
      </c>
      <c r="C390" t="s">
        <v>691</v>
      </c>
      <c r="D390" t="s">
        <v>692</v>
      </c>
      <c r="E390" t="s">
        <v>91</v>
      </c>
      <c r="F390" t="s">
        <v>693</v>
      </c>
      <c r="G390" t="str">
        <f>"201402003677"</f>
        <v>201402003677</v>
      </c>
      <c r="H390" t="s">
        <v>694</v>
      </c>
      <c r="I390">
        <v>150</v>
      </c>
      <c r="J390">
        <v>70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84</v>
      </c>
      <c r="S390">
        <v>588</v>
      </c>
      <c r="T390">
        <v>0</v>
      </c>
      <c r="V390">
        <v>2</v>
      </c>
      <c r="W390" t="s">
        <v>695</v>
      </c>
    </row>
    <row r="391" spans="1:23" x14ac:dyDescent="0.25">
      <c r="H391" t="s">
        <v>70</v>
      </c>
    </row>
    <row r="392" spans="1:23" x14ac:dyDescent="0.25">
      <c r="A392">
        <v>193</v>
      </c>
      <c r="B392">
        <v>3150</v>
      </c>
      <c r="C392" t="s">
        <v>696</v>
      </c>
      <c r="D392" t="s">
        <v>697</v>
      </c>
      <c r="E392" t="s">
        <v>109</v>
      </c>
      <c r="F392" t="s">
        <v>698</v>
      </c>
      <c r="G392" t="str">
        <f>"201406008417"</f>
        <v>201406008417</v>
      </c>
      <c r="H392" t="s">
        <v>281</v>
      </c>
      <c r="I392">
        <v>150</v>
      </c>
      <c r="J392">
        <v>70</v>
      </c>
      <c r="K392">
        <v>0</v>
      </c>
      <c r="L392">
        <v>0</v>
      </c>
      <c r="M392">
        <v>70</v>
      </c>
      <c r="N392">
        <v>0</v>
      </c>
      <c r="O392">
        <v>0</v>
      </c>
      <c r="P392">
        <v>0</v>
      </c>
      <c r="Q392">
        <v>0</v>
      </c>
      <c r="R392">
        <v>57</v>
      </c>
      <c r="S392">
        <v>399</v>
      </c>
      <c r="T392">
        <v>0</v>
      </c>
      <c r="V392">
        <v>0</v>
      </c>
      <c r="W392" t="s">
        <v>699</v>
      </c>
    </row>
    <row r="393" spans="1:23" x14ac:dyDescent="0.25">
      <c r="H393" t="s">
        <v>70</v>
      </c>
    </row>
    <row r="394" spans="1:23" x14ac:dyDescent="0.25">
      <c r="A394">
        <v>194</v>
      </c>
      <c r="B394">
        <v>2665</v>
      </c>
      <c r="C394" t="s">
        <v>700</v>
      </c>
      <c r="D394" t="s">
        <v>285</v>
      </c>
      <c r="E394" t="s">
        <v>21</v>
      </c>
      <c r="F394" t="s">
        <v>701</v>
      </c>
      <c r="G394" t="str">
        <f>"201406009321"</f>
        <v>201406009321</v>
      </c>
      <c r="H394">
        <v>990</v>
      </c>
      <c r="I394">
        <v>150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84</v>
      </c>
      <c r="S394">
        <v>588</v>
      </c>
      <c r="T394">
        <v>0</v>
      </c>
      <c r="V394">
        <v>0</v>
      </c>
      <c r="W394">
        <v>1728</v>
      </c>
    </row>
    <row r="395" spans="1:23" x14ac:dyDescent="0.25">
      <c r="H395" t="s">
        <v>26</v>
      </c>
    </row>
    <row r="396" spans="1:23" x14ac:dyDescent="0.25">
      <c r="A396">
        <v>195</v>
      </c>
      <c r="B396">
        <v>3169</v>
      </c>
      <c r="C396" t="s">
        <v>702</v>
      </c>
      <c r="D396" t="s">
        <v>28</v>
      </c>
      <c r="E396" t="s">
        <v>227</v>
      </c>
      <c r="F396" t="s">
        <v>703</v>
      </c>
      <c r="G396" t="str">
        <f>"201304000865"</f>
        <v>201304000865</v>
      </c>
      <c r="H396">
        <v>990</v>
      </c>
      <c r="I396">
        <v>0</v>
      </c>
      <c r="J396">
        <v>70</v>
      </c>
      <c r="K396">
        <v>30</v>
      </c>
      <c r="L396">
        <v>0</v>
      </c>
      <c r="M396">
        <v>50</v>
      </c>
      <c r="N396">
        <v>0</v>
      </c>
      <c r="O396">
        <v>0</v>
      </c>
      <c r="P396">
        <v>0</v>
      </c>
      <c r="Q396">
        <v>0</v>
      </c>
      <c r="R396">
        <v>84</v>
      </c>
      <c r="S396">
        <v>588</v>
      </c>
      <c r="T396">
        <v>0</v>
      </c>
      <c r="V396">
        <v>0</v>
      </c>
      <c r="W396">
        <v>1728</v>
      </c>
    </row>
    <row r="397" spans="1:23" x14ac:dyDescent="0.25">
      <c r="H397">
        <v>703</v>
      </c>
    </row>
    <row r="398" spans="1:23" x14ac:dyDescent="0.25">
      <c r="A398">
        <v>196</v>
      </c>
      <c r="B398">
        <v>1656</v>
      </c>
      <c r="C398" t="s">
        <v>704</v>
      </c>
      <c r="D398" t="s">
        <v>444</v>
      </c>
      <c r="E398" t="s">
        <v>99</v>
      </c>
      <c r="F398" t="s">
        <v>705</v>
      </c>
      <c r="G398" t="str">
        <f>"201405001759"</f>
        <v>201405001759</v>
      </c>
      <c r="H398" t="s">
        <v>191</v>
      </c>
      <c r="I398">
        <v>0</v>
      </c>
      <c r="J398">
        <v>30</v>
      </c>
      <c r="K398">
        <v>50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84</v>
      </c>
      <c r="S398">
        <v>588</v>
      </c>
      <c r="T398">
        <v>0</v>
      </c>
      <c r="V398">
        <v>0</v>
      </c>
      <c r="W398" t="s">
        <v>706</v>
      </c>
    </row>
    <row r="399" spans="1:23" x14ac:dyDescent="0.25">
      <c r="H399" t="s">
        <v>70</v>
      </c>
    </row>
    <row r="400" spans="1:23" x14ac:dyDescent="0.25">
      <c r="A400">
        <v>197</v>
      </c>
      <c r="B400">
        <v>1069</v>
      </c>
      <c r="C400" t="s">
        <v>707</v>
      </c>
      <c r="D400" t="s">
        <v>21</v>
      </c>
      <c r="E400" t="s">
        <v>708</v>
      </c>
      <c r="F400" t="s">
        <v>709</v>
      </c>
      <c r="G400" t="str">
        <f>"00144788"</f>
        <v>00144788</v>
      </c>
      <c r="H400">
        <v>935</v>
      </c>
      <c r="I400">
        <v>150</v>
      </c>
      <c r="J400">
        <v>30</v>
      </c>
      <c r="K400">
        <v>0</v>
      </c>
      <c r="L400">
        <v>30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83</v>
      </c>
      <c r="S400">
        <v>581</v>
      </c>
      <c r="T400">
        <v>0</v>
      </c>
      <c r="V400">
        <v>0</v>
      </c>
      <c r="W400">
        <v>1726</v>
      </c>
    </row>
    <row r="401" spans="1:23" x14ac:dyDescent="0.25">
      <c r="H401" t="s">
        <v>26</v>
      </c>
    </row>
    <row r="402" spans="1:23" x14ac:dyDescent="0.25">
      <c r="A402">
        <v>198</v>
      </c>
      <c r="B402">
        <v>2135</v>
      </c>
      <c r="C402" t="s">
        <v>710</v>
      </c>
      <c r="D402" t="s">
        <v>28</v>
      </c>
      <c r="E402" t="s">
        <v>76</v>
      </c>
      <c r="F402" t="s">
        <v>711</v>
      </c>
      <c r="G402" t="str">
        <f>"200809001167"</f>
        <v>200809001167</v>
      </c>
      <c r="H402" t="s">
        <v>358</v>
      </c>
      <c r="I402">
        <v>0</v>
      </c>
      <c r="J402">
        <v>70</v>
      </c>
      <c r="K402">
        <v>0</v>
      </c>
      <c r="L402">
        <v>0</v>
      </c>
      <c r="M402">
        <v>70</v>
      </c>
      <c r="N402">
        <v>0</v>
      </c>
      <c r="O402">
        <v>0</v>
      </c>
      <c r="P402">
        <v>0</v>
      </c>
      <c r="Q402">
        <v>0</v>
      </c>
      <c r="R402">
        <v>84</v>
      </c>
      <c r="S402">
        <v>588</v>
      </c>
      <c r="T402">
        <v>0</v>
      </c>
      <c r="V402">
        <v>0</v>
      </c>
      <c r="W402" t="s">
        <v>712</v>
      </c>
    </row>
    <row r="403" spans="1:23" x14ac:dyDescent="0.25">
      <c r="H403" t="s">
        <v>70</v>
      </c>
    </row>
    <row r="404" spans="1:23" x14ac:dyDescent="0.25">
      <c r="A404">
        <v>199</v>
      </c>
      <c r="B404">
        <v>2704</v>
      </c>
      <c r="C404" t="s">
        <v>713</v>
      </c>
      <c r="D404" t="s">
        <v>53</v>
      </c>
      <c r="E404" t="s">
        <v>15</v>
      </c>
      <c r="F404" t="s">
        <v>714</v>
      </c>
      <c r="G404" t="str">
        <f>"201412002633"</f>
        <v>201412002633</v>
      </c>
      <c r="H404">
        <v>990</v>
      </c>
      <c r="I404">
        <v>150</v>
      </c>
      <c r="J404">
        <v>30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79</v>
      </c>
      <c r="S404">
        <v>553</v>
      </c>
      <c r="T404">
        <v>0</v>
      </c>
      <c r="V404">
        <v>0</v>
      </c>
      <c r="W404">
        <v>1723</v>
      </c>
    </row>
    <row r="405" spans="1:23" x14ac:dyDescent="0.25">
      <c r="H405">
        <v>703</v>
      </c>
    </row>
    <row r="406" spans="1:23" x14ac:dyDescent="0.25">
      <c r="A406">
        <v>200</v>
      </c>
      <c r="B406">
        <v>2837</v>
      </c>
      <c r="C406" t="s">
        <v>715</v>
      </c>
      <c r="D406" t="s">
        <v>53</v>
      </c>
      <c r="E406" t="s">
        <v>592</v>
      </c>
      <c r="F406" t="s">
        <v>716</v>
      </c>
      <c r="G406" t="str">
        <f>"00085264"</f>
        <v>00085264</v>
      </c>
      <c r="H406">
        <v>935</v>
      </c>
      <c r="I406">
        <v>150</v>
      </c>
      <c r="J406">
        <v>50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84</v>
      </c>
      <c r="S406">
        <v>588</v>
      </c>
      <c r="T406">
        <v>0</v>
      </c>
      <c r="V406">
        <v>0</v>
      </c>
      <c r="W406">
        <v>1723</v>
      </c>
    </row>
    <row r="407" spans="1:23" x14ac:dyDescent="0.25">
      <c r="H407">
        <v>703</v>
      </c>
    </row>
    <row r="408" spans="1:23" x14ac:dyDescent="0.25">
      <c r="A408">
        <v>201</v>
      </c>
      <c r="B408">
        <v>1983</v>
      </c>
      <c r="C408" t="s">
        <v>717</v>
      </c>
      <c r="D408" t="s">
        <v>718</v>
      </c>
      <c r="E408" t="s">
        <v>708</v>
      </c>
      <c r="F408" t="s">
        <v>719</v>
      </c>
      <c r="G408" t="str">
        <f>"00227462"</f>
        <v>00227462</v>
      </c>
      <c r="H408" t="s">
        <v>495</v>
      </c>
      <c r="I408">
        <v>150</v>
      </c>
      <c r="J408">
        <v>30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84</v>
      </c>
      <c r="S408">
        <v>588</v>
      </c>
      <c r="T408">
        <v>0</v>
      </c>
      <c r="V408">
        <v>0</v>
      </c>
      <c r="W408" t="s">
        <v>720</v>
      </c>
    </row>
    <row r="409" spans="1:23" x14ac:dyDescent="0.25">
      <c r="H409">
        <v>703</v>
      </c>
    </row>
    <row r="410" spans="1:23" x14ac:dyDescent="0.25">
      <c r="A410">
        <v>202</v>
      </c>
      <c r="B410">
        <v>1438</v>
      </c>
      <c r="C410" t="s">
        <v>721</v>
      </c>
      <c r="D410" t="s">
        <v>722</v>
      </c>
      <c r="E410" t="s">
        <v>99</v>
      </c>
      <c r="F410" t="s">
        <v>723</v>
      </c>
      <c r="G410" t="str">
        <f>"200802001364"</f>
        <v>200802001364</v>
      </c>
      <c r="H410" t="s">
        <v>202</v>
      </c>
      <c r="I410">
        <v>150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84</v>
      </c>
      <c r="S410">
        <v>588</v>
      </c>
      <c r="T410">
        <v>0</v>
      </c>
      <c r="V410">
        <v>0</v>
      </c>
      <c r="W410" t="s">
        <v>724</v>
      </c>
    </row>
    <row r="411" spans="1:23" x14ac:dyDescent="0.25">
      <c r="H411">
        <v>703</v>
      </c>
    </row>
    <row r="412" spans="1:23" x14ac:dyDescent="0.25">
      <c r="A412">
        <v>203</v>
      </c>
      <c r="B412">
        <v>2715</v>
      </c>
      <c r="C412" t="s">
        <v>725</v>
      </c>
      <c r="D412" t="s">
        <v>726</v>
      </c>
      <c r="E412" t="s">
        <v>15</v>
      </c>
      <c r="F412" t="s">
        <v>727</v>
      </c>
      <c r="G412" t="str">
        <f>"00141315"</f>
        <v>00141315</v>
      </c>
      <c r="H412" t="s">
        <v>202</v>
      </c>
      <c r="I412">
        <v>150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84</v>
      </c>
      <c r="S412">
        <v>588</v>
      </c>
      <c r="T412">
        <v>0</v>
      </c>
      <c r="V412">
        <v>0</v>
      </c>
      <c r="W412" t="s">
        <v>724</v>
      </c>
    </row>
    <row r="413" spans="1:23" x14ac:dyDescent="0.25">
      <c r="H413">
        <v>703</v>
      </c>
    </row>
    <row r="414" spans="1:23" x14ac:dyDescent="0.25">
      <c r="A414">
        <v>204</v>
      </c>
      <c r="B414">
        <v>2801</v>
      </c>
      <c r="C414" t="s">
        <v>728</v>
      </c>
      <c r="D414" t="s">
        <v>226</v>
      </c>
      <c r="E414" t="s">
        <v>33</v>
      </c>
      <c r="F414" t="s">
        <v>729</v>
      </c>
      <c r="G414" t="str">
        <f>"00125365"</f>
        <v>00125365</v>
      </c>
      <c r="H414">
        <v>1034</v>
      </c>
      <c r="I414">
        <v>0</v>
      </c>
      <c r="J414">
        <v>30</v>
      </c>
      <c r="K414">
        <v>70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84</v>
      </c>
      <c r="S414">
        <v>588</v>
      </c>
      <c r="T414">
        <v>0</v>
      </c>
      <c r="V414">
        <v>0</v>
      </c>
      <c r="W414">
        <v>1722</v>
      </c>
    </row>
    <row r="415" spans="1:23" x14ac:dyDescent="0.25">
      <c r="H415" t="s">
        <v>70</v>
      </c>
    </row>
    <row r="416" spans="1:23" x14ac:dyDescent="0.25">
      <c r="A416">
        <v>205</v>
      </c>
      <c r="B416">
        <v>2433</v>
      </c>
      <c r="C416" t="s">
        <v>730</v>
      </c>
      <c r="D416" t="s">
        <v>273</v>
      </c>
      <c r="E416" t="s">
        <v>91</v>
      </c>
      <c r="F416" t="s">
        <v>731</v>
      </c>
      <c r="G416" t="str">
        <f>"200807000758"</f>
        <v>200807000758</v>
      </c>
      <c r="H416">
        <v>1034</v>
      </c>
      <c r="I416">
        <v>0</v>
      </c>
      <c r="J416">
        <v>70</v>
      </c>
      <c r="K416">
        <v>30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84</v>
      </c>
      <c r="S416">
        <v>588</v>
      </c>
      <c r="T416">
        <v>0</v>
      </c>
      <c r="V416">
        <v>0</v>
      </c>
      <c r="W416">
        <v>1722</v>
      </c>
    </row>
    <row r="417" spans="1:23" x14ac:dyDescent="0.25">
      <c r="H417" t="s">
        <v>70</v>
      </c>
    </row>
    <row r="418" spans="1:23" x14ac:dyDescent="0.25">
      <c r="A418">
        <v>206</v>
      </c>
      <c r="B418">
        <v>2980</v>
      </c>
      <c r="C418" t="s">
        <v>732</v>
      </c>
      <c r="D418" t="s">
        <v>273</v>
      </c>
      <c r="E418" t="s">
        <v>523</v>
      </c>
      <c r="F418" t="s">
        <v>733</v>
      </c>
      <c r="G418" t="str">
        <f>"201406008329"</f>
        <v>201406008329</v>
      </c>
      <c r="H418" t="s">
        <v>570</v>
      </c>
      <c r="I418">
        <v>150</v>
      </c>
      <c r="J418">
        <v>30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76</v>
      </c>
      <c r="S418">
        <v>532</v>
      </c>
      <c r="T418">
        <v>0</v>
      </c>
      <c r="V418">
        <v>0</v>
      </c>
      <c r="W418" t="s">
        <v>734</v>
      </c>
    </row>
    <row r="419" spans="1:23" x14ac:dyDescent="0.25">
      <c r="H419">
        <v>703</v>
      </c>
    </row>
    <row r="420" spans="1:23" x14ac:dyDescent="0.25">
      <c r="A420">
        <v>207</v>
      </c>
      <c r="B420">
        <v>1165</v>
      </c>
      <c r="C420" t="s">
        <v>735</v>
      </c>
      <c r="D420" t="s">
        <v>28</v>
      </c>
      <c r="E420" t="s">
        <v>76</v>
      </c>
      <c r="F420" t="s">
        <v>736</v>
      </c>
      <c r="G420" t="str">
        <f>"201402009499"</f>
        <v>201402009499</v>
      </c>
      <c r="H420" t="s">
        <v>209</v>
      </c>
      <c r="I420">
        <v>0</v>
      </c>
      <c r="J420">
        <v>50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84</v>
      </c>
      <c r="S420">
        <v>588</v>
      </c>
      <c r="T420">
        <v>0</v>
      </c>
      <c r="V420">
        <v>0</v>
      </c>
      <c r="W420" t="s">
        <v>737</v>
      </c>
    </row>
    <row r="421" spans="1:23" x14ac:dyDescent="0.25">
      <c r="H421">
        <v>703</v>
      </c>
    </row>
    <row r="422" spans="1:23" x14ac:dyDescent="0.25">
      <c r="A422">
        <v>208</v>
      </c>
      <c r="B422">
        <v>1733</v>
      </c>
      <c r="C422" t="s">
        <v>738</v>
      </c>
      <c r="D422" t="s">
        <v>597</v>
      </c>
      <c r="E422" t="s">
        <v>739</v>
      </c>
      <c r="F422" t="s">
        <v>740</v>
      </c>
      <c r="G422" t="str">
        <f>"00226205"</f>
        <v>00226205</v>
      </c>
      <c r="H422" t="s">
        <v>137</v>
      </c>
      <c r="I422">
        <v>0</v>
      </c>
      <c r="J422">
        <v>30</v>
      </c>
      <c r="K422">
        <v>30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84</v>
      </c>
      <c r="S422">
        <v>588</v>
      </c>
      <c r="T422">
        <v>0</v>
      </c>
      <c r="V422">
        <v>0</v>
      </c>
      <c r="W422" t="s">
        <v>741</v>
      </c>
    </row>
    <row r="423" spans="1:23" x14ac:dyDescent="0.25">
      <c r="H423" t="s">
        <v>70</v>
      </c>
    </row>
    <row r="424" spans="1:23" x14ac:dyDescent="0.25">
      <c r="A424">
        <v>209</v>
      </c>
      <c r="B424">
        <v>3167</v>
      </c>
      <c r="C424" t="s">
        <v>742</v>
      </c>
      <c r="D424" t="s">
        <v>629</v>
      </c>
      <c r="E424" t="s">
        <v>743</v>
      </c>
      <c r="F424" t="s">
        <v>744</v>
      </c>
      <c r="G424" t="str">
        <f>"00158015"</f>
        <v>00158015</v>
      </c>
      <c r="H424">
        <v>1045</v>
      </c>
      <c r="I424">
        <v>150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75</v>
      </c>
      <c r="S424">
        <v>525</v>
      </c>
      <c r="T424">
        <v>0</v>
      </c>
      <c r="V424">
        <v>0</v>
      </c>
      <c r="W424">
        <v>1720</v>
      </c>
    </row>
    <row r="425" spans="1:23" x14ac:dyDescent="0.25">
      <c r="H425">
        <v>703</v>
      </c>
    </row>
    <row r="426" spans="1:23" x14ac:dyDescent="0.25">
      <c r="A426">
        <v>210</v>
      </c>
      <c r="B426">
        <v>3102</v>
      </c>
      <c r="C426" t="s">
        <v>745</v>
      </c>
      <c r="D426" t="s">
        <v>46</v>
      </c>
      <c r="E426" t="s">
        <v>91</v>
      </c>
      <c r="F426" t="s">
        <v>746</v>
      </c>
      <c r="G426" t="str">
        <f>"201402003228"</f>
        <v>201402003228</v>
      </c>
      <c r="H426">
        <v>1012</v>
      </c>
      <c r="I426">
        <v>0</v>
      </c>
      <c r="J426">
        <v>70</v>
      </c>
      <c r="K426">
        <v>0</v>
      </c>
      <c r="L426">
        <v>0</v>
      </c>
      <c r="M426">
        <v>50</v>
      </c>
      <c r="N426">
        <v>0</v>
      </c>
      <c r="O426">
        <v>0</v>
      </c>
      <c r="P426">
        <v>0</v>
      </c>
      <c r="Q426">
        <v>0</v>
      </c>
      <c r="R426">
        <v>84</v>
      </c>
      <c r="S426">
        <v>588</v>
      </c>
      <c r="T426">
        <v>0</v>
      </c>
      <c r="V426">
        <v>0</v>
      </c>
      <c r="W426">
        <v>1720</v>
      </c>
    </row>
    <row r="427" spans="1:23" x14ac:dyDescent="0.25">
      <c r="H427" t="s">
        <v>70</v>
      </c>
    </row>
    <row r="428" spans="1:23" x14ac:dyDescent="0.25">
      <c r="A428">
        <v>211</v>
      </c>
      <c r="B428">
        <v>397</v>
      </c>
      <c r="C428" t="s">
        <v>747</v>
      </c>
      <c r="D428" t="s">
        <v>91</v>
      </c>
      <c r="E428" t="s">
        <v>53</v>
      </c>
      <c r="F428" t="s">
        <v>748</v>
      </c>
      <c r="G428" t="str">
        <f>"201412004475"</f>
        <v>201412004475</v>
      </c>
      <c r="H428" t="s">
        <v>749</v>
      </c>
      <c r="I428">
        <v>150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84</v>
      </c>
      <c r="S428">
        <v>588</v>
      </c>
      <c r="T428">
        <v>0</v>
      </c>
      <c r="V428">
        <v>0</v>
      </c>
      <c r="W428" t="s">
        <v>750</v>
      </c>
    </row>
    <row r="429" spans="1:23" x14ac:dyDescent="0.25">
      <c r="H429">
        <v>703</v>
      </c>
    </row>
    <row r="430" spans="1:23" x14ac:dyDescent="0.25">
      <c r="A430">
        <v>212</v>
      </c>
      <c r="B430">
        <v>423</v>
      </c>
      <c r="C430" t="s">
        <v>751</v>
      </c>
      <c r="D430" t="s">
        <v>219</v>
      </c>
      <c r="E430" t="s">
        <v>752</v>
      </c>
      <c r="F430" t="s">
        <v>753</v>
      </c>
      <c r="G430" t="str">
        <f>"201506004098"</f>
        <v>201506004098</v>
      </c>
      <c r="H430" t="s">
        <v>174</v>
      </c>
      <c r="I430">
        <v>0</v>
      </c>
      <c r="J430">
        <v>70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84</v>
      </c>
      <c r="S430">
        <v>588</v>
      </c>
      <c r="T430">
        <v>0</v>
      </c>
      <c r="V430">
        <v>0</v>
      </c>
      <c r="W430" t="s">
        <v>754</v>
      </c>
    </row>
    <row r="431" spans="1:23" x14ac:dyDescent="0.25">
      <c r="H431" t="s">
        <v>26</v>
      </c>
    </row>
    <row r="432" spans="1:23" x14ac:dyDescent="0.25">
      <c r="A432">
        <v>213</v>
      </c>
      <c r="B432">
        <v>1265</v>
      </c>
      <c r="C432" t="s">
        <v>755</v>
      </c>
      <c r="D432" t="s">
        <v>254</v>
      </c>
      <c r="E432" t="s">
        <v>113</v>
      </c>
      <c r="F432" t="s">
        <v>756</v>
      </c>
      <c r="G432" t="str">
        <f>"00224131"</f>
        <v>00224131</v>
      </c>
      <c r="H432">
        <v>1100</v>
      </c>
      <c r="I432">
        <v>0</v>
      </c>
      <c r="J432">
        <v>30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84</v>
      </c>
      <c r="S432">
        <v>588</v>
      </c>
      <c r="T432">
        <v>0</v>
      </c>
      <c r="V432">
        <v>0</v>
      </c>
      <c r="W432">
        <v>1718</v>
      </c>
    </row>
    <row r="433" spans="1:23" x14ac:dyDescent="0.25">
      <c r="H433">
        <v>703</v>
      </c>
    </row>
    <row r="434" spans="1:23" x14ac:dyDescent="0.25">
      <c r="A434">
        <v>214</v>
      </c>
      <c r="B434">
        <v>2478</v>
      </c>
      <c r="C434" t="s">
        <v>757</v>
      </c>
      <c r="D434" t="s">
        <v>758</v>
      </c>
      <c r="E434" t="s">
        <v>91</v>
      </c>
      <c r="F434" t="s">
        <v>759</v>
      </c>
      <c r="G434" t="str">
        <f>"201405001533"</f>
        <v>201405001533</v>
      </c>
      <c r="H434">
        <v>1100</v>
      </c>
      <c r="I434">
        <v>0</v>
      </c>
      <c r="J434">
        <v>30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84</v>
      </c>
      <c r="S434">
        <v>588</v>
      </c>
      <c r="T434">
        <v>0</v>
      </c>
      <c r="V434">
        <v>1</v>
      </c>
      <c r="W434">
        <v>1718</v>
      </c>
    </row>
    <row r="435" spans="1:23" x14ac:dyDescent="0.25">
      <c r="H435">
        <v>703</v>
      </c>
    </row>
    <row r="436" spans="1:23" x14ac:dyDescent="0.25">
      <c r="A436">
        <v>215</v>
      </c>
      <c r="B436">
        <v>626</v>
      </c>
      <c r="C436" t="s">
        <v>760</v>
      </c>
      <c r="D436" t="s">
        <v>273</v>
      </c>
      <c r="E436" t="s">
        <v>109</v>
      </c>
      <c r="F436" t="s">
        <v>761</v>
      </c>
      <c r="G436" t="str">
        <f>"00145301"</f>
        <v>00145301</v>
      </c>
      <c r="H436">
        <v>1100</v>
      </c>
      <c r="I436">
        <v>0</v>
      </c>
      <c r="J436">
        <v>30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84</v>
      </c>
      <c r="S436">
        <v>588</v>
      </c>
      <c r="T436">
        <v>0</v>
      </c>
      <c r="V436">
        <v>0</v>
      </c>
      <c r="W436">
        <v>1718</v>
      </c>
    </row>
    <row r="437" spans="1:23" x14ac:dyDescent="0.25">
      <c r="H437">
        <v>703</v>
      </c>
    </row>
    <row r="438" spans="1:23" x14ac:dyDescent="0.25">
      <c r="A438">
        <v>216</v>
      </c>
      <c r="B438">
        <v>2719</v>
      </c>
      <c r="C438" t="s">
        <v>762</v>
      </c>
      <c r="D438" t="s">
        <v>273</v>
      </c>
      <c r="E438" t="s">
        <v>88</v>
      </c>
      <c r="F438" t="s">
        <v>763</v>
      </c>
      <c r="G438" t="str">
        <f>"201506001185"</f>
        <v>201506001185</v>
      </c>
      <c r="H438" t="s">
        <v>764</v>
      </c>
      <c r="I438">
        <v>0</v>
      </c>
      <c r="J438">
        <v>70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84</v>
      </c>
      <c r="S438">
        <v>588</v>
      </c>
      <c r="T438">
        <v>0</v>
      </c>
      <c r="V438">
        <v>0</v>
      </c>
      <c r="W438" t="s">
        <v>765</v>
      </c>
    </row>
    <row r="439" spans="1:23" x14ac:dyDescent="0.25">
      <c r="H439">
        <v>703</v>
      </c>
    </row>
    <row r="440" spans="1:23" x14ac:dyDescent="0.25">
      <c r="A440">
        <v>217</v>
      </c>
      <c r="B440">
        <v>3197</v>
      </c>
      <c r="C440" t="s">
        <v>766</v>
      </c>
      <c r="D440" t="s">
        <v>767</v>
      </c>
      <c r="E440" t="s">
        <v>227</v>
      </c>
      <c r="F440" t="s">
        <v>768</v>
      </c>
      <c r="G440" t="str">
        <f>"201510000864"</f>
        <v>201510000864</v>
      </c>
      <c r="H440" t="s">
        <v>579</v>
      </c>
      <c r="I440">
        <v>150</v>
      </c>
      <c r="J440">
        <v>30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84</v>
      </c>
      <c r="S440">
        <v>588</v>
      </c>
      <c r="T440">
        <v>0</v>
      </c>
      <c r="V440">
        <v>0</v>
      </c>
      <c r="W440" t="s">
        <v>765</v>
      </c>
    </row>
    <row r="441" spans="1:23" x14ac:dyDescent="0.25">
      <c r="H441">
        <v>703</v>
      </c>
    </row>
    <row r="442" spans="1:23" x14ac:dyDescent="0.25">
      <c r="A442">
        <v>218</v>
      </c>
      <c r="B442">
        <v>709</v>
      </c>
      <c r="C442" t="s">
        <v>769</v>
      </c>
      <c r="D442" t="s">
        <v>67</v>
      </c>
      <c r="E442" t="s">
        <v>15</v>
      </c>
      <c r="F442" t="s">
        <v>770</v>
      </c>
      <c r="G442" t="str">
        <f>"201005000114"</f>
        <v>201005000114</v>
      </c>
      <c r="H442" t="s">
        <v>579</v>
      </c>
      <c r="I442">
        <v>150</v>
      </c>
      <c r="J442">
        <v>30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84</v>
      </c>
      <c r="S442">
        <v>588</v>
      </c>
      <c r="T442">
        <v>0</v>
      </c>
      <c r="V442">
        <v>0</v>
      </c>
      <c r="W442" t="s">
        <v>765</v>
      </c>
    </row>
    <row r="443" spans="1:23" x14ac:dyDescent="0.25">
      <c r="H443">
        <v>703</v>
      </c>
    </row>
    <row r="444" spans="1:23" x14ac:dyDescent="0.25">
      <c r="A444">
        <v>219</v>
      </c>
      <c r="B444">
        <v>999</v>
      </c>
      <c r="C444" t="s">
        <v>771</v>
      </c>
      <c r="D444" t="s">
        <v>273</v>
      </c>
      <c r="E444" t="s">
        <v>772</v>
      </c>
      <c r="F444" t="s">
        <v>773</v>
      </c>
      <c r="G444" t="str">
        <f>"200801004961"</f>
        <v>200801004961</v>
      </c>
      <c r="H444">
        <v>979</v>
      </c>
      <c r="I444">
        <v>150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84</v>
      </c>
      <c r="S444">
        <v>588</v>
      </c>
      <c r="T444">
        <v>0</v>
      </c>
      <c r="V444">
        <v>0</v>
      </c>
      <c r="W444">
        <v>1717</v>
      </c>
    </row>
    <row r="445" spans="1:23" x14ac:dyDescent="0.25">
      <c r="H445">
        <v>703</v>
      </c>
    </row>
    <row r="446" spans="1:23" x14ac:dyDescent="0.25">
      <c r="A446">
        <v>220</v>
      </c>
      <c r="B446">
        <v>1048</v>
      </c>
      <c r="C446" t="s">
        <v>774</v>
      </c>
      <c r="D446" t="s">
        <v>91</v>
      </c>
      <c r="E446" t="s">
        <v>47</v>
      </c>
      <c r="F446" t="s">
        <v>775</v>
      </c>
      <c r="G446" t="str">
        <f>"201511041408"</f>
        <v>201511041408</v>
      </c>
      <c r="H446" t="s">
        <v>187</v>
      </c>
      <c r="I446">
        <v>0</v>
      </c>
      <c r="J446">
        <v>70</v>
      </c>
      <c r="K446">
        <v>0</v>
      </c>
      <c r="L446">
        <v>0</v>
      </c>
      <c r="M446">
        <v>30</v>
      </c>
      <c r="N446">
        <v>0</v>
      </c>
      <c r="O446">
        <v>0</v>
      </c>
      <c r="P446">
        <v>0</v>
      </c>
      <c r="Q446">
        <v>0</v>
      </c>
      <c r="R446">
        <v>84</v>
      </c>
      <c r="S446">
        <v>588</v>
      </c>
      <c r="T446">
        <v>0</v>
      </c>
      <c r="V446">
        <v>0</v>
      </c>
      <c r="W446" t="s">
        <v>776</v>
      </c>
    </row>
    <row r="447" spans="1:23" x14ac:dyDescent="0.25">
      <c r="H447" t="s">
        <v>70</v>
      </c>
    </row>
    <row r="448" spans="1:23" x14ac:dyDescent="0.25">
      <c r="A448">
        <v>221</v>
      </c>
      <c r="B448">
        <v>1487</v>
      </c>
      <c r="C448" t="s">
        <v>777</v>
      </c>
      <c r="D448" t="s">
        <v>14</v>
      </c>
      <c r="E448" t="s">
        <v>778</v>
      </c>
      <c r="F448" t="s">
        <v>779</v>
      </c>
      <c r="G448" t="str">
        <f>"00028387"</f>
        <v>00028387</v>
      </c>
      <c r="H448" t="s">
        <v>389</v>
      </c>
      <c r="I448">
        <v>150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84</v>
      </c>
      <c r="S448">
        <v>588</v>
      </c>
      <c r="T448">
        <v>0</v>
      </c>
      <c r="V448">
        <v>2</v>
      </c>
      <c r="W448" t="s">
        <v>780</v>
      </c>
    </row>
    <row r="449" spans="1:23" x14ac:dyDescent="0.25">
      <c r="H449">
        <v>703</v>
      </c>
    </row>
    <row r="450" spans="1:23" x14ac:dyDescent="0.25">
      <c r="A450">
        <v>222</v>
      </c>
      <c r="B450">
        <v>982</v>
      </c>
      <c r="C450" t="s">
        <v>781</v>
      </c>
      <c r="D450" t="s">
        <v>87</v>
      </c>
      <c r="E450" t="s">
        <v>105</v>
      </c>
      <c r="F450" t="s">
        <v>782</v>
      </c>
      <c r="G450" t="str">
        <f>"00070848"</f>
        <v>00070848</v>
      </c>
      <c r="H450" t="s">
        <v>245</v>
      </c>
      <c r="I450">
        <v>0</v>
      </c>
      <c r="J450">
        <v>70</v>
      </c>
      <c r="K450">
        <v>0</v>
      </c>
      <c r="L450">
        <v>0</v>
      </c>
      <c r="M450">
        <v>0</v>
      </c>
      <c r="N450">
        <v>30</v>
      </c>
      <c r="O450">
        <v>0</v>
      </c>
      <c r="P450">
        <v>0</v>
      </c>
      <c r="Q450">
        <v>0</v>
      </c>
      <c r="R450">
        <v>84</v>
      </c>
      <c r="S450">
        <v>588</v>
      </c>
      <c r="T450">
        <v>0</v>
      </c>
      <c r="V450">
        <v>0</v>
      </c>
      <c r="W450" t="s">
        <v>783</v>
      </c>
    </row>
    <row r="451" spans="1:23" x14ac:dyDescent="0.25">
      <c r="H451" t="s">
        <v>70</v>
      </c>
    </row>
    <row r="452" spans="1:23" x14ac:dyDescent="0.25">
      <c r="A452">
        <v>223</v>
      </c>
      <c r="B452">
        <v>1152</v>
      </c>
      <c r="C452" t="s">
        <v>784</v>
      </c>
      <c r="D452" t="s">
        <v>273</v>
      </c>
      <c r="E452" t="s">
        <v>99</v>
      </c>
      <c r="F452" t="s">
        <v>785</v>
      </c>
      <c r="G452" t="str">
        <f>"00145287"</f>
        <v>00145287</v>
      </c>
      <c r="H452">
        <v>946</v>
      </c>
      <c r="I452">
        <v>150</v>
      </c>
      <c r="J452">
        <v>30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84</v>
      </c>
      <c r="S452">
        <v>588</v>
      </c>
      <c r="T452">
        <v>0</v>
      </c>
      <c r="V452">
        <v>0</v>
      </c>
      <c r="W452">
        <v>1714</v>
      </c>
    </row>
    <row r="453" spans="1:23" x14ac:dyDescent="0.25">
      <c r="H453" t="s">
        <v>26</v>
      </c>
    </row>
    <row r="454" spans="1:23" x14ac:dyDescent="0.25">
      <c r="A454">
        <v>224</v>
      </c>
      <c r="B454">
        <v>2904</v>
      </c>
      <c r="C454" t="s">
        <v>786</v>
      </c>
      <c r="D454" t="s">
        <v>787</v>
      </c>
      <c r="E454" t="s">
        <v>99</v>
      </c>
      <c r="F454" t="s">
        <v>788</v>
      </c>
      <c r="G454" t="str">
        <f>"00085946"</f>
        <v>00085946</v>
      </c>
      <c r="H454">
        <v>946</v>
      </c>
      <c r="I454">
        <v>150</v>
      </c>
      <c r="J454">
        <v>30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84</v>
      </c>
      <c r="S454">
        <v>588</v>
      </c>
      <c r="T454">
        <v>0</v>
      </c>
      <c r="V454">
        <v>0</v>
      </c>
      <c r="W454">
        <v>1714</v>
      </c>
    </row>
    <row r="455" spans="1:23" x14ac:dyDescent="0.25">
      <c r="H455">
        <v>703</v>
      </c>
    </row>
    <row r="456" spans="1:23" x14ac:dyDescent="0.25">
      <c r="A456">
        <v>225</v>
      </c>
      <c r="B456">
        <v>2412</v>
      </c>
      <c r="C456" t="s">
        <v>200</v>
      </c>
      <c r="D456" t="s">
        <v>789</v>
      </c>
      <c r="E456" t="s">
        <v>105</v>
      </c>
      <c r="F456" t="s">
        <v>790</v>
      </c>
      <c r="G456" t="str">
        <f>"201402009646"</f>
        <v>201402009646</v>
      </c>
      <c r="H456">
        <v>1045</v>
      </c>
      <c r="I456">
        <v>0</v>
      </c>
      <c r="J456">
        <v>50</v>
      </c>
      <c r="K456">
        <v>0</v>
      </c>
      <c r="L456">
        <v>0</v>
      </c>
      <c r="M456">
        <v>30</v>
      </c>
      <c r="N456">
        <v>0</v>
      </c>
      <c r="O456">
        <v>0</v>
      </c>
      <c r="P456">
        <v>0</v>
      </c>
      <c r="Q456">
        <v>0</v>
      </c>
      <c r="R456">
        <v>84</v>
      </c>
      <c r="S456">
        <v>588</v>
      </c>
      <c r="T456">
        <v>0</v>
      </c>
      <c r="V456">
        <v>0</v>
      </c>
      <c r="W456">
        <v>1713</v>
      </c>
    </row>
    <row r="457" spans="1:23" x14ac:dyDescent="0.25">
      <c r="H457" t="s">
        <v>70</v>
      </c>
    </row>
    <row r="458" spans="1:23" x14ac:dyDescent="0.25">
      <c r="A458">
        <v>226</v>
      </c>
      <c r="B458">
        <v>2777</v>
      </c>
      <c r="C458" t="s">
        <v>791</v>
      </c>
      <c r="D458" t="s">
        <v>104</v>
      </c>
      <c r="E458" t="s">
        <v>792</v>
      </c>
      <c r="F458" t="s">
        <v>793</v>
      </c>
      <c r="G458" t="str">
        <f>"201402005603"</f>
        <v>201402005603</v>
      </c>
      <c r="H458">
        <v>935</v>
      </c>
      <c r="I458">
        <v>0</v>
      </c>
      <c r="J458">
        <v>70</v>
      </c>
      <c r="K458">
        <v>30</v>
      </c>
      <c r="L458">
        <v>30</v>
      </c>
      <c r="M458">
        <v>30</v>
      </c>
      <c r="N458">
        <v>30</v>
      </c>
      <c r="O458">
        <v>0</v>
      </c>
      <c r="P458">
        <v>0</v>
      </c>
      <c r="Q458">
        <v>0</v>
      </c>
      <c r="R458">
        <v>84</v>
      </c>
      <c r="S458">
        <v>588</v>
      </c>
      <c r="T458">
        <v>0</v>
      </c>
      <c r="V458">
        <v>0</v>
      </c>
      <c r="W458">
        <v>1713</v>
      </c>
    </row>
    <row r="459" spans="1:23" x14ac:dyDescent="0.25">
      <c r="H459" t="s">
        <v>70</v>
      </c>
    </row>
    <row r="460" spans="1:23" x14ac:dyDescent="0.25">
      <c r="A460">
        <v>227</v>
      </c>
      <c r="B460">
        <v>631</v>
      </c>
      <c r="C460" t="s">
        <v>794</v>
      </c>
      <c r="D460" t="s">
        <v>20</v>
      </c>
      <c r="E460" t="s">
        <v>478</v>
      </c>
      <c r="F460" t="s">
        <v>795</v>
      </c>
      <c r="G460" t="str">
        <f>"00228675"</f>
        <v>00228675</v>
      </c>
      <c r="H460" t="s">
        <v>622</v>
      </c>
      <c r="I460">
        <v>150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84</v>
      </c>
      <c r="S460">
        <v>588</v>
      </c>
      <c r="T460">
        <v>0</v>
      </c>
      <c r="V460">
        <v>0</v>
      </c>
      <c r="W460" t="s">
        <v>796</v>
      </c>
    </row>
    <row r="461" spans="1:23" x14ac:dyDescent="0.25">
      <c r="H461">
        <v>703</v>
      </c>
    </row>
    <row r="462" spans="1:23" x14ac:dyDescent="0.25">
      <c r="A462">
        <v>228</v>
      </c>
      <c r="B462">
        <v>2913</v>
      </c>
      <c r="C462" t="s">
        <v>797</v>
      </c>
      <c r="D462" t="s">
        <v>798</v>
      </c>
      <c r="E462" t="s">
        <v>24</v>
      </c>
      <c r="F462" t="s">
        <v>799</v>
      </c>
      <c r="G462" t="str">
        <f>"00197964"</f>
        <v>00197964</v>
      </c>
      <c r="H462" t="s">
        <v>800</v>
      </c>
      <c r="I462">
        <v>150</v>
      </c>
      <c r="J462">
        <v>30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50</v>
      </c>
      <c r="Q462">
        <v>0</v>
      </c>
      <c r="R462">
        <v>84</v>
      </c>
      <c r="S462">
        <v>588</v>
      </c>
      <c r="T462">
        <v>0</v>
      </c>
      <c r="V462">
        <v>2</v>
      </c>
      <c r="W462" t="s">
        <v>801</v>
      </c>
    </row>
    <row r="463" spans="1:23" x14ac:dyDescent="0.25">
      <c r="H463" t="s">
        <v>26</v>
      </c>
    </row>
    <row r="464" spans="1:23" x14ac:dyDescent="0.25">
      <c r="A464">
        <v>229</v>
      </c>
      <c r="B464">
        <v>2113</v>
      </c>
      <c r="C464" t="s">
        <v>802</v>
      </c>
      <c r="D464" t="s">
        <v>361</v>
      </c>
      <c r="E464" t="s">
        <v>478</v>
      </c>
      <c r="F464" t="s">
        <v>803</v>
      </c>
      <c r="G464" t="str">
        <f>"00042524"</f>
        <v>00042524</v>
      </c>
      <c r="H464" t="s">
        <v>73</v>
      </c>
      <c r="I464">
        <v>0</v>
      </c>
      <c r="J464">
        <v>50</v>
      </c>
      <c r="K464">
        <v>0</v>
      </c>
      <c r="L464">
        <v>30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83</v>
      </c>
      <c r="S464">
        <v>581</v>
      </c>
      <c r="T464">
        <v>0</v>
      </c>
      <c r="V464">
        <v>0</v>
      </c>
      <c r="W464" t="s">
        <v>804</v>
      </c>
    </row>
    <row r="465" spans="1:23" x14ac:dyDescent="0.25">
      <c r="H465" t="s">
        <v>26</v>
      </c>
    </row>
    <row r="466" spans="1:23" x14ac:dyDescent="0.25">
      <c r="A466">
        <v>230</v>
      </c>
      <c r="B466">
        <v>1831</v>
      </c>
      <c r="C466" t="s">
        <v>805</v>
      </c>
      <c r="D466" t="s">
        <v>806</v>
      </c>
      <c r="E466" t="s">
        <v>454</v>
      </c>
      <c r="F466" t="s">
        <v>807</v>
      </c>
      <c r="G466" t="str">
        <f>"200802005195"</f>
        <v>200802005195</v>
      </c>
      <c r="H466">
        <v>1023</v>
      </c>
      <c r="I466">
        <v>0</v>
      </c>
      <c r="J466">
        <v>70</v>
      </c>
      <c r="K466">
        <v>0</v>
      </c>
      <c r="L466">
        <v>0</v>
      </c>
      <c r="M466">
        <v>30</v>
      </c>
      <c r="N466">
        <v>0</v>
      </c>
      <c r="O466">
        <v>0</v>
      </c>
      <c r="P466">
        <v>0</v>
      </c>
      <c r="Q466">
        <v>0</v>
      </c>
      <c r="R466">
        <v>84</v>
      </c>
      <c r="S466">
        <v>588</v>
      </c>
      <c r="T466">
        <v>0</v>
      </c>
      <c r="V466">
        <v>0</v>
      </c>
      <c r="W466">
        <v>1711</v>
      </c>
    </row>
    <row r="467" spans="1:23" x14ac:dyDescent="0.25">
      <c r="H467" t="s">
        <v>26</v>
      </c>
    </row>
    <row r="468" spans="1:23" x14ac:dyDescent="0.25">
      <c r="A468">
        <v>231</v>
      </c>
      <c r="B468">
        <v>3144</v>
      </c>
      <c r="C468" t="s">
        <v>808</v>
      </c>
      <c r="D468" t="s">
        <v>87</v>
      </c>
      <c r="E468" t="s">
        <v>58</v>
      </c>
      <c r="F468" t="s">
        <v>809</v>
      </c>
      <c r="G468" t="str">
        <f>"00121441"</f>
        <v>00121441</v>
      </c>
      <c r="H468">
        <v>1023</v>
      </c>
      <c r="I468">
        <v>0</v>
      </c>
      <c r="J468">
        <v>70</v>
      </c>
      <c r="K468">
        <v>0</v>
      </c>
      <c r="L468">
        <v>0</v>
      </c>
      <c r="M468">
        <v>30</v>
      </c>
      <c r="N468">
        <v>0</v>
      </c>
      <c r="O468">
        <v>0</v>
      </c>
      <c r="P468">
        <v>0</v>
      </c>
      <c r="Q468">
        <v>0</v>
      </c>
      <c r="R468">
        <v>84</v>
      </c>
      <c r="S468">
        <v>588</v>
      </c>
      <c r="T468">
        <v>0</v>
      </c>
      <c r="V468">
        <v>0</v>
      </c>
      <c r="W468">
        <v>1711</v>
      </c>
    </row>
    <row r="469" spans="1:23" x14ac:dyDescent="0.25">
      <c r="H469" t="s">
        <v>70</v>
      </c>
    </row>
    <row r="470" spans="1:23" x14ac:dyDescent="0.25">
      <c r="A470">
        <v>232</v>
      </c>
      <c r="B470">
        <v>1542</v>
      </c>
      <c r="C470" t="s">
        <v>810</v>
      </c>
      <c r="D470" t="s">
        <v>811</v>
      </c>
      <c r="E470" t="s">
        <v>76</v>
      </c>
      <c r="F470" t="s">
        <v>812</v>
      </c>
      <c r="G470" t="str">
        <f>"00227967"</f>
        <v>00227967</v>
      </c>
      <c r="H470" t="s">
        <v>43</v>
      </c>
      <c r="I470">
        <v>0</v>
      </c>
      <c r="J470">
        <v>30</v>
      </c>
      <c r="K470">
        <v>0</v>
      </c>
      <c r="L470">
        <v>0</v>
      </c>
      <c r="M470">
        <v>30</v>
      </c>
      <c r="N470">
        <v>0</v>
      </c>
      <c r="O470">
        <v>0</v>
      </c>
      <c r="P470">
        <v>0</v>
      </c>
      <c r="Q470">
        <v>0</v>
      </c>
      <c r="R470">
        <v>82</v>
      </c>
      <c r="S470">
        <v>574</v>
      </c>
      <c r="T470">
        <v>0</v>
      </c>
      <c r="V470">
        <v>0</v>
      </c>
      <c r="W470" t="s">
        <v>813</v>
      </c>
    </row>
    <row r="471" spans="1:23" x14ac:dyDescent="0.25">
      <c r="H471" t="s">
        <v>26</v>
      </c>
    </row>
    <row r="472" spans="1:23" x14ac:dyDescent="0.25">
      <c r="A472">
        <v>233</v>
      </c>
      <c r="B472">
        <v>645</v>
      </c>
      <c r="C472" t="s">
        <v>814</v>
      </c>
      <c r="D472" t="s">
        <v>815</v>
      </c>
      <c r="E472" t="s">
        <v>105</v>
      </c>
      <c r="F472" t="s">
        <v>816</v>
      </c>
      <c r="G472" t="str">
        <f>"00016917"</f>
        <v>00016917</v>
      </c>
      <c r="H472" t="s">
        <v>521</v>
      </c>
      <c r="I472">
        <v>150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84</v>
      </c>
      <c r="S472">
        <v>588</v>
      </c>
      <c r="T472">
        <v>0</v>
      </c>
      <c r="V472">
        <v>1</v>
      </c>
      <c r="W472" t="s">
        <v>817</v>
      </c>
    </row>
    <row r="473" spans="1:23" x14ac:dyDescent="0.25">
      <c r="H473">
        <v>703</v>
      </c>
    </row>
    <row r="474" spans="1:23" x14ac:dyDescent="0.25">
      <c r="A474">
        <v>234</v>
      </c>
      <c r="B474">
        <v>1067</v>
      </c>
      <c r="C474" t="s">
        <v>818</v>
      </c>
      <c r="D474" t="s">
        <v>67</v>
      </c>
      <c r="E474" t="s">
        <v>109</v>
      </c>
      <c r="F474" t="s">
        <v>819</v>
      </c>
      <c r="G474" t="str">
        <f>"00089655"</f>
        <v>00089655</v>
      </c>
      <c r="H474" t="s">
        <v>521</v>
      </c>
      <c r="I474">
        <v>150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84</v>
      </c>
      <c r="S474">
        <v>588</v>
      </c>
      <c r="T474">
        <v>0</v>
      </c>
      <c r="V474">
        <v>0</v>
      </c>
      <c r="W474" t="s">
        <v>817</v>
      </c>
    </row>
    <row r="475" spans="1:23" x14ac:dyDescent="0.25">
      <c r="H475">
        <v>703</v>
      </c>
    </row>
    <row r="476" spans="1:23" x14ac:dyDescent="0.25">
      <c r="A476">
        <v>235</v>
      </c>
      <c r="B476">
        <v>2684</v>
      </c>
      <c r="C476" t="s">
        <v>820</v>
      </c>
      <c r="D476" t="s">
        <v>361</v>
      </c>
      <c r="E476" t="s">
        <v>41</v>
      </c>
      <c r="F476" t="s">
        <v>821</v>
      </c>
      <c r="G476" t="str">
        <f>"200911000206"</f>
        <v>200911000206</v>
      </c>
      <c r="H476" t="s">
        <v>64</v>
      </c>
      <c r="I476">
        <v>0</v>
      </c>
      <c r="J476">
        <v>30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84</v>
      </c>
      <c r="S476">
        <v>588</v>
      </c>
      <c r="T476">
        <v>0</v>
      </c>
      <c r="V476">
        <v>0</v>
      </c>
      <c r="W476" t="s">
        <v>822</v>
      </c>
    </row>
    <row r="477" spans="1:23" x14ac:dyDescent="0.25">
      <c r="H477" t="s">
        <v>26</v>
      </c>
    </row>
    <row r="478" spans="1:23" x14ac:dyDescent="0.25">
      <c r="A478">
        <v>236</v>
      </c>
      <c r="B478">
        <v>1845</v>
      </c>
      <c r="C478" t="s">
        <v>823</v>
      </c>
      <c r="D478" t="s">
        <v>61</v>
      </c>
      <c r="E478" t="s">
        <v>15</v>
      </c>
      <c r="F478" t="s">
        <v>824</v>
      </c>
      <c r="G478" t="str">
        <f>"201411003639"</f>
        <v>201411003639</v>
      </c>
      <c r="H478">
        <v>1001</v>
      </c>
      <c r="I478">
        <v>0</v>
      </c>
      <c r="J478">
        <v>70</v>
      </c>
      <c r="K478">
        <v>0</v>
      </c>
      <c r="L478">
        <v>50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84</v>
      </c>
      <c r="S478">
        <v>588</v>
      </c>
      <c r="T478">
        <v>0</v>
      </c>
      <c r="V478">
        <v>0</v>
      </c>
      <c r="W478">
        <v>1709</v>
      </c>
    </row>
    <row r="479" spans="1:23" x14ac:dyDescent="0.25">
      <c r="H479" t="s">
        <v>70</v>
      </c>
    </row>
    <row r="480" spans="1:23" x14ac:dyDescent="0.25">
      <c r="A480">
        <v>237</v>
      </c>
      <c r="B480">
        <v>1141</v>
      </c>
      <c r="C480" t="s">
        <v>825</v>
      </c>
      <c r="D480" t="s">
        <v>112</v>
      </c>
      <c r="E480" t="s">
        <v>33</v>
      </c>
      <c r="F480" t="s">
        <v>826</v>
      </c>
      <c r="G480" t="str">
        <f>"201511038497"</f>
        <v>201511038497</v>
      </c>
      <c r="H480" t="s">
        <v>358</v>
      </c>
      <c r="I480">
        <v>150</v>
      </c>
      <c r="J480">
        <v>70</v>
      </c>
      <c r="K480">
        <v>0</v>
      </c>
      <c r="L480">
        <v>0</v>
      </c>
      <c r="M480">
        <v>0</v>
      </c>
      <c r="N480">
        <v>30</v>
      </c>
      <c r="O480">
        <v>0</v>
      </c>
      <c r="P480">
        <v>0</v>
      </c>
      <c r="Q480">
        <v>0</v>
      </c>
      <c r="R480">
        <v>66</v>
      </c>
      <c r="S480">
        <v>462</v>
      </c>
      <c r="T480">
        <v>0</v>
      </c>
      <c r="V480">
        <v>0</v>
      </c>
      <c r="W480" t="s">
        <v>827</v>
      </c>
    </row>
    <row r="481" spans="1:23" x14ac:dyDescent="0.25">
      <c r="H481" t="s">
        <v>70</v>
      </c>
    </row>
    <row r="482" spans="1:23" x14ac:dyDescent="0.25">
      <c r="A482">
        <v>238</v>
      </c>
      <c r="B482">
        <v>3133</v>
      </c>
      <c r="C482" t="s">
        <v>828</v>
      </c>
      <c r="D482" t="s">
        <v>46</v>
      </c>
      <c r="E482" t="s">
        <v>24</v>
      </c>
      <c r="F482" t="s">
        <v>829</v>
      </c>
      <c r="G482" t="str">
        <f>"00230029"</f>
        <v>00230029</v>
      </c>
      <c r="H482" t="s">
        <v>376</v>
      </c>
      <c r="I482">
        <v>0</v>
      </c>
      <c r="J482">
        <v>70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84</v>
      </c>
      <c r="S482">
        <v>588</v>
      </c>
      <c r="T482">
        <v>0</v>
      </c>
      <c r="V482">
        <v>0</v>
      </c>
      <c r="W482" t="s">
        <v>830</v>
      </c>
    </row>
    <row r="483" spans="1:23" x14ac:dyDescent="0.25">
      <c r="H483">
        <v>703</v>
      </c>
    </row>
    <row r="484" spans="1:23" x14ac:dyDescent="0.25">
      <c r="A484">
        <v>239</v>
      </c>
      <c r="B484">
        <v>2876</v>
      </c>
      <c r="C484" t="s">
        <v>831</v>
      </c>
      <c r="D484" t="s">
        <v>53</v>
      </c>
      <c r="E484" t="s">
        <v>135</v>
      </c>
      <c r="F484" t="s">
        <v>832</v>
      </c>
      <c r="G484" t="str">
        <f>"200809000556"</f>
        <v>200809000556</v>
      </c>
      <c r="H484" t="s">
        <v>833</v>
      </c>
      <c r="I484">
        <v>150</v>
      </c>
      <c r="J484">
        <v>30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84</v>
      </c>
      <c r="S484">
        <v>588</v>
      </c>
      <c r="T484">
        <v>0</v>
      </c>
      <c r="V484">
        <v>0</v>
      </c>
      <c r="W484" t="s">
        <v>830</v>
      </c>
    </row>
    <row r="485" spans="1:23" x14ac:dyDescent="0.25">
      <c r="H485">
        <v>703</v>
      </c>
    </row>
    <row r="486" spans="1:23" x14ac:dyDescent="0.25">
      <c r="A486">
        <v>240</v>
      </c>
      <c r="B486">
        <v>3089</v>
      </c>
      <c r="C486" t="s">
        <v>834</v>
      </c>
      <c r="D486" t="s">
        <v>273</v>
      </c>
      <c r="E486" t="s">
        <v>135</v>
      </c>
      <c r="F486" t="s">
        <v>835</v>
      </c>
      <c r="G486" t="str">
        <f>"00187514"</f>
        <v>00187514</v>
      </c>
      <c r="H486" t="s">
        <v>836</v>
      </c>
      <c r="I486">
        <v>150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84</v>
      </c>
      <c r="S486">
        <v>588</v>
      </c>
      <c r="T486">
        <v>0</v>
      </c>
      <c r="V486">
        <v>2</v>
      </c>
      <c r="W486" t="s">
        <v>837</v>
      </c>
    </row>
    <row r="487" spans="1:23" x14ac:dyDescent="0.25">
      <c r="H487">
        <v>703</v>
      </c>
    </row>
    <row r="488" spans="1:23" x14ac:dyDescent="0.25">
      <c r="A488">
        <v>241</v>
      </c>
      <c r="B488">
        <v>2495</v>
      </c>
      <c r="C488" t="s">
        <v>838</v>
      </c>
      <c r="D488" t="s">
        <v>109</v>
      </c>
      <c r="E488" t="s">
        <v>752</v>
      </c>
      <c r="F488" t="s">
        <v>839</v>
      </c>
      <c r="G488" t="str">
        <f>"00225224"</f>
        <v>00225224</v>
      </c>
      <c r="H488" t="s">
        <v>840</v>
      </c>
      <c r="I488">
        <v>150</v>
      </c>
      <c r="J488">
        <v>50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84</v>
      </c>
      <c r="S488">
        <v>588</v>
      </c>
      <c r="T488">
        <v>0</v>
      </c>
      <c r="V488">
        <v>0</v>
      </c>
      <c r="W488" t="s">
        <v>841</v>
      </c>
    </row>
    <row r="489" spans="1:23" x14ac:dyDescent="0.25">
      <c r="H489" t="s">
        <v>26</v>
      </c>
    </row>
    <row r="490" spans="1:23" x14ac:dyDescent="0.25">
      <c r="A490">
        <v>242</v>
      </c>
      <c r="B490">
        <v>685</v>
      </c>
      <c r="C490" t="s">
        <v>842</v>
      </c>
      <c r="D490" t="s">
        <v>125</v>
      </c>
      <c r="E490" t="s">
        <v>843</v>
      </c>
      <c r="F490" t="s">
        <v>844</v>
      </c>
      <c r="G490" t="str">
        <f>"201402011534"</f>
        <v>201402011534</v>
      </c>
      <c r="H490" t="s">
        <v>81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70</v>
      </c>
      <c r="P490">
        <v>0</v>
      </c>
      <c r="Q490">
        <v>0</v>
      </c>
      <c r="R490">
        <v>84</v>
      </c>
      <c r="S490">
        <v>588</v>
      </c>
      <c r="T490">
        <v>0</v>
      </c>
      <c r="V490">
        <v>2</v>
      </c>
      <c r="W490" t="s">
        <v>845</v>
      </c>
    </row>
    <row r="491" spans="1:23" x14ac:dyDescent="0.25">
      <c r="H491">
        <v>703</v>
      </c>
    </row>
    <row r="492" spans="1:23" x14ac:dyDescent="0.25">
      <c r="A492">
        <v>243</v>
      </c>
      <c r="B492">
        <v>555</v>
      </c>
      <c r="C492" t="s">
        <v>846</v>
      </c>
      <c r="D492" t="s">
        <v>847</v>
      </c>
      <c r="E492" t="s">
        <v>53</v>
      </c>
      <c r="F492" t="s">
        <v>848</v>
      </c>
      <c r="G492" t="str">
        <f>"200801005476"</f>
        <v>200801005476</v>
      </c>
      <c r="H492">
        <v>968</v>
      </c>
      <c r="I492">
        <v>150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84</v>
      </c>
      <c r="S492">
        <v>588</v>
      </c>
      <c r="T492">
        <v>0</v>
      </c>
      <c r="V492">
        <v>0</v>
      </c>
      <c r="W492">
        <v>1706</v>
      </c>
    </row>
    <row r="493" spans="1:23" x14ac:dyDescent="0.25">
      <c r="H493">
        <v>703</v>
      </c>
    </row>
    <row r="494" spans="1:23" x14ac:dyDescent="0.25">
      <c r="A494">
        <v>244</v>
      </c>
      <c r="B494">
        <v>834</v>
      </c>
      <c r="C494" t="s">
        <v>849</v>
      </c>
      <c r="D494" t="s">
        <v>273</v>
      </c>
      <c r="E494" t="s">
        <v>53</v>
      </c>
      <c r="F494" t="s">
        <v>850</v>
      </c>
      <c r="G494" t="str">
        <f>"00198506"</f>
        <v>00198506</v>
      </c>
      <c r="H494" t="s">
        <v>851</v>
      </c>
      <c r="I494">
        <v>0</v>
      </c>
      <c r="J494">
        <v>0</v>
      </c>
      <c r="K494">
        <v>0</v>
      </c>
      <c r="L494">
        <v>0</v>
      </c>
      <c r="M494">
        <v>30</v>
      </c>
      <c r="N494">
        <v>0</v>
      </c>
      <c r="O494">
        <v>0</v>
      </c>
      <c r="P494">
        <v>0</v>
      </c>
      <c r="Q494">
        <v>0</v>
      </c>
      <c r="R494">
        <v>84</v>
      </c>
      <c r="S494">
        <v>588</v>
      </c>
      <c r="T494">
        <v>0</v>
      </c>
      <c r="V494">
        <v>0</v>
      </c>
      <c r="W494" t="s">
        <v>852</v>
      </c>
    </row>
    <row r="495" spans="1:23" x14ac:dyDescent="0.25">
      <c r="H495">
        <v>703</v>
      </c>
    </row>
    <row r="496" spans="1:23" x14ac:dyDescent="0.25">
      <c r="A496">
        <v>245</v>
      </c>
      <c r="B496">
        <v>1147</v>
      </c>
      <c r="C496" t="s">
        <v>853</v>
      </c>
      <c r="D496" t="s">
        <v>46</v>
      </c>
      <c r="E496" t="s">
        <v>297</v>
      </c>
      <c r="F496" t="s">
        <v>854</v>
      </c>
      <c r="G496" t="str">
        <f>"201511031606"</f>
        <v>201511031606</v>
      </c>
      <c r="H496">
        <v>935</v>
      </c>
      <c r="I496">
        <v>150</v>
      </c>
      <c r="J496">
        <v>30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84</v>
      </c>
      <c r="S496">
        <v>588</v>
      </c>
      <c r="T496">
        <v>0</v>
      </c>
      <c r="V496">
        <v>2</v>
      </c>
      <c r="W496">
        <v>1703</v>
      </c>
    </row>
    <row r="497" spans="1:23" x14ac:dyDescent="0.25">
      <c r="H497">
        <v>703</v>
      </c>
    </row>
    <row r="498" spans="1:23" x14ac:dyDescent="0.25">
      <c r="A498">
        <v>246</v>
      </c>
      <c r="B498">
        <v>1659</v>
      </c>
      <c r="C498" t="s">
        <v>855</v>
      </c>
      <c r="D498" t="s">
        <v>14</v>
      </c>
      <c r="E498" t="s">
        <v>91</v>
      </c>
      <c r="F498" t="s">
        <v>856</v>
      </c>
      <c r="G498" t="str">
        <f>"00137674"</f>
        <v>00137674</v>
      </c>
      <c r="H498">
        <v>935</v>
      </c>
      <c r="I498">
        <v>150</v>
      </c>
      <c r="J498">
        <v>30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84</v>
      </c>
      <c r="S498">
        <v>588</v>
      </c>
      <c r="T498">
        <v>0</v>
      </c>
      <c r="V498">
        <v>2</v>
      </c>
      <c r="W498">
        <v>1703</v>
      </c>
    </row>
    <row r="499" spans="1:23" x14ac:dyDescent="0.25">
      <c r="H499">
        <v>703</v>
      </c>
    </row>
    <row r="500" spans="1:23" x14ac:dyDescent="0.25">
      <c r="A500">
        <v>247</v>
      </c>
      <c r="B500">
        <v>437</v>
      </c>
      <c r="C500" t="s">
        <v>857</v>
      </c>
      <c r="D500" t="s">
        <v>273</v>
      </c>
      <c r="E500" t="s">
        <v>76</v>
      </c>
      <c r="F500" t="s">
        <v>858</v>
      </c>
      <c r="G500" t="str">
        <f>"00229410"</f>
        <v>00229410</v>
      </c>
      <c r="H500">
        <v>935</v>
      </c>
      <c r="I500">
        <v>150</v>
      </c>
      <c r="J500">
        <v>30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84</v>
      </c>
      <c r="S500">
        <v>588</v>
      </c>
      <c r="T500">
        <v>0</v>
      </c>
      <c r="V500">
        <v>0</v>
      </c>
      <c r="W500">
        <v>1703</v>
      </c>
    </row>
    <row r="501" spans="1:23" x14ac:dyDescent="0.25">
      <c r="H501">
        <v>703</v>
      </c>
    </row>
    <row r="502" spans="1:23" x14ac:dyDescent="0.25">
      <c r="A502">
        <v>248</v>
      </c>
      <c r="B502">
        <v>1749</v>
      </c>
      <c r="C502" t="s">
        <v>859</v>
      </c>
      <c r="D502" t="s">
        <v>860</v>
      </c>
      <c r="E502" t="s">
        <v>99</v>
      </c>
      <c r="F502" t="s">
        <v>861</v>
      </c>
      <c r="G502" t="str">
        <f>"00011137"</f>
        <v>00011137</v>
      </c>
      <c r="H502" t="s">
        <v>305</v>
      </c>
      <c r="I502">
        <v>0</v>
      </c>
      <c r="J502">
        <v>50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84</v>
      </c>
      <c r="S502">
        <v>588</v>
      </c>
      <c r="T502">
        <v>0</v>
      </c>
      <c r="V502">
        <v>0</v>
      </c>
      <c r="W502" t="s">
        <v>862</v>
      </c>
    </row>
    <row r="503" spans="1:23" x14ac:dyDescent="0.25">
      <c r="H503" t="s">
        <v>26</v>
      </c>
    </row>
    <row r="504" spans="1:23" x14ac:dyDescent="0.25">
      <c r="A504">
        <v>249</v>
      </c>
      <c r="B504">
        <v>3123</v>
      </c>
      <c r="C504" t="s">
        <v>863</v>
      </c>
      <c r="D504" t="s">
        <v>864</v>
      </c>
      <c r="E504" t="s">
        <v>865</v>
      </c>
      <c r="F504" t="s">
        <v>866</v>
      </c>
      <c r="G504" t="str">
        <f>"201406000133"</f>
        <v>201406000133</v>
      </c>
      <c r="H504" t="s">
        <v>237</v>
      </c>
      <c r="I504">
        <v>0</v>
      </c>
      <c r="J504">
        <v>70</v>
      </c>
      <c r="K504">
        <v>50</v>
      </c>
      <c r="L504">
        <v>0</v>
      </c>
      <c r="M504">
        <v>0</v>
      </c>
      <c r="N504">
        <v>30</v>
      </c>
      <c r="O504">
        <v>0</v>
      </c>
      <c r="P504">
        <v>0</v>
      </c>
      <c r="Q504">
        <v>0</v>
      </c>
      <c r="R504">
        <v>78</v>
      </c>
      <c r="S504">
        <v>546</v>
      </c>
      <c r="T504">
        <v>0</v>
      </c>
      <c r="V504">
        <v>0</v>
      </c>
      <c r="W504" t="s">
        <v>867</v>
      </c>
    </row>
    <row r="505" spans="1:23" x14ac:dyDescent="0.25">
      <c r="H505" t="s">
        <v>70</v>
      </c>
    </row>
    <row r="506" spans="1:23" x14ac:dyDescent="0.25">
      <c r="A506">
        <v>250</v>
      </c>
      <c r="B506">
        <v>1518</v>
      </c>
      <c r="C506" t="s">
        <v>868</v>
      </c>
      <c r="D506" t="s">
        <v>14</v>
      </c>
      <c r="E506" t="s">
        <v>869</v>
      </c>
      <c r="F506" t="s">
        <v>870</v>
      </c>
      <c r="G506" t="str">
        <f>"00160506"</f>
        <v>00160506</v>
      </c>
      <c r="H506" t="s">
        <v>836</v>
      </c>
      <c r="I506">
        <v>150</v>
      </c>
      <c r="J506">
        <v>30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79</v>
      </c>
      <c r="S506">
        <v>553</v>
      </c>
      <c r="T506">
        <v>0</v>
      </c>
      <c r="V506">
        <v>0</v>
      </c>
      <c r="W506" t="s">
        <v>871</v>
      </c>
    </row>
    <row r="507" spans="1:23" x14ac:dyDescent="0.25">
      <c r="H507">
        <v>703</v>
      </c>
    </row>
    <row r="508" spans="1:23" x14ac:dyDescent="0.25">
      <c r="A508">
        <v>251</v>
      </c>
      <c r="B508">
        <v>3040</v>
      </c>
      <c r="C508" t="s">
        <v>872</v>
      </c>
      <c r="D508" t="s">
        <v>873</v>
      </c>
      <c r="E508" t="s">
        <v>53</v>
      </c>
      <c r="F508" t="s">
        <v>874</v>
      </c>
      <c r="G508" t="str">
        <f>"00146094"</f>
        <v>00146094</v>
      </c>
      <c r="H508" t="s">
        <v>209</v>
      </c>
      <c r="I508">
        <v>0</v>
      </c>
      <c r="J508">
        <v>30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84</v>
      </c>
      <c r="S508">
        <v>588</v>
      </c>
      <c r="T508">
        <v>0</v>
      </c>
      <c r="V508">
        <v>0</v>
      </c>
      <c r="W508" t="s">
        <v>875</v>
      </c>
    </row>
    <row r="509" spans="1:23" x14ac:dyDescent="0.25">
      <c r="H509">
        <v>703</v>
      </c>
    </row>
    <row r="510" spans="1:23" x14ac:dyDescent="0.25">
      <c r="A510">
        <v>252</v>
      </c>
      <c r="B510">
        <v>2437</v>
      </c>
      <c r="C510" t="s">
        <v>876</v>
      </c>
      <c r="D510" t="s">
        <v>109</v>
      </c>
      <c r="E510" t="s">
        <v>105</v>
      </c>
      <c r="F510" t="s">
        <v>877</v>
      </c>
      <c r="G510" t="str">
        <f>"00119069"</f>
        <v>00119069</v>
      </c>
      <c r="H510" t="s">
        <v>458</v>
      </c>
      <c r="I510">
        <v>0</v>
      </c>
      <c r="J510">
        <v>70</v>
      </c>
      <c r="K510">
        <v>0</v>
      </c>
      <c r="L510">
        <v>70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84</v>
      </c>
      <c r="S510">
        <v>588</v>
      </c>
      <c r="T510">
        <v>0</v>
      </c>
      <c r="V510">
        <v>0</v>
      </c>
      <c r="W510" t="s">
        <v>875</v>
      </c>
    </row>
    <row r="511" spans="1:23" x14ac:dyDescent="0.25">
      <c r="H511" t="s">
        <v>70</v>
      </c>
    </row>
    <row r="512" spans="1:23" x14ac:dyDescent="0.25">
      <c r="A512">
        <v>253</v>
      </c>
      <c r="B512">
        <v>1821</v>
      </c>
      <c r="C512" t="s">
        <v>878</v>
      </c>
      <c r="D512" t="s">
        <v>28</v>
      </c>
      <c r="E512" t="s">
        <v>879</v>
      </c>
      <c r="F512" t="s">
        <v>880</v>
      </c>
      <c r="G512" t="str">
        <f>"00225147"</f>
        <v>00225147</v>
      </c>
      <c r="H512" t="s">
        <v>881</v>
      </c>
      <c r="I512">
        <v>0</v>
      </c>
      <c r="J512">
        <v>30</v>
      </c>
      <c r="K512">
        <v>0</v>
      </c>
      <c r="L512">
        <v>30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84</v>
      </c>
      <c r="S512">
        <v>588</v>
      </c>
      <c r="T512">
        <v>0</v>
      </c>
      <c r="V512">
        <v>2</v>
      </c>
      <c r="W512" t="s">
        <v>882</v>
      </c>
    </row>
    <row r="513" spans="1:23" x14ac:dyDescent="0.25">
      <c r="H513" t="s">
        <v>26</v>
      </c>
    </row>
    <row r="514" spans="1:23" x14ac:dyDescent="0.25">
      <c r="A514">
        <v>254</v>
      </c>
      <c r="B514">
        <v>928</v>
      </c>
      <c r="C514" t="s">
        <v>883</v>
      </c>
      <c r="D514" t="s">
        <v>884</v>
      </c>
      <c r="E514" t="s">
        <v>47</v>
      </c>
      <c r="F514" t="s">
        <v>885</v>
      </c>
      <c r="G514" t="str">
        <f>"201002000081"</f>
        <v>201002000081</v>
      </c>
      <c r="H514" t="s">
        <v>174</v>
      </c>
      <c r="I514">
        <v>150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70</v>
      </c>
      <c r="S514">
        <v>490</v>
      </c>
      <c r="T514">
        <v>0</v>
      </c>
      <c r="V514">
        <v>0</v>
      </c>
      <c r="W514" t="s">
        <v>886</v>
      </c>
    </row>
    <row r="515" spans="1:23" x14ac:dyDescent="0.25">
      <c r="H515">
        <v>703</v>
      </c>
    </row>
    <row r="516" spans="1:23" x14ac:dyDescent="0.25">
      <c r="A516">
        <v>255</v>
      </c>
      <c r="B516">
        <v>2650</v>
      </c>
      <c r="C516" t="s">
        <v>887</v>
      </c>
      <c r="D516" t="s">
        <v>293</v>
      </c>
      <c r="E516" t="s">
        <v>105</v>
      </c>
      <c r="F516" t="s">
        <v>888</v>
      </c>
      <c r="G516" t="str">
        <f>"201406005650"</f>
        <v>201406005650</v>
      </c>
      <c r="H516" t="s">
        <v>889</v>
      </c>
      <c r="I516">
        <v>150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72</v>
      </c>
      <c r="S516">
        <v>504</v>
      </c>
      <c r="T516">
        <v>0</v>
      </c>
      <c r="V516">
        <v>0</v>
      </c>
      <c r="W516" t="s">
        <v>890</v>
      </c>
    </row>
    <row r="517" spans="1:23" x14ac:dyDescent="0.25">
      <c r="H517">
        <v>703</v>
      </c>
    </row>
    <row r="518" spans="1:23" x14ac:dyDescent="0.25">
      <c r="A518">
        <v>256</v>
      </c>
      <c r="B518">
        <v>2985</v>
      </c>
      <c r="C518" t="s">
        <v>891</v>
      </c>
      <c r="D518" t="s">
        <v>230</v>
      </c>
      <c r="E518" t="s">
        <v>892</v>
      </c>
      <c r="F518" t="s">
        <v>893</v>
      </c>
      <c r="G518" t="str">
        <f>"201406012486"</f>
        <v>201406012486</v>
      </c>
      <c r="H518">
        <v>1023</v>
      </c>
      <c r="I518">
        <v>150</v>
      </c>
      <c r="J518">
        <v>70</v>
      </c>
      <c r="K518">
        <v>0</v>
      </c>
      <c r="L518">
        <v>50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58</v>
      </c>
      <c r="S518">
        <v>406</v>
      </c>
      <c r="T518">
        <v>0</v>
      </c>
      <c r="V518">
        <v>0</v>
      </c>
      <c r="W518">
        <v>1699</v>
      </c>
    </row>
    <row r="519" spans="1:23" x14ac:dyDescent="0.25">
      <c r="H519" t="s">
        <v>70</v>
      </c>
    </row>
    <row r="520" spans="1:23" x14ac:dyDescent="0.25">
      <c r="A520">
        <v>257</v>
      </c>
      <c r="B520">
        <v>2848</v>
      </c>
      <c r="C520" t="s">
        <v>894</v>
      </c>
      <c r="D520" t="s">
        <v>895</v>
      </c>
      <c r="E520" t="s">
        <v>109</v>
      </c>
      <c r="F520" t="s">
        <v>896</v>
      </c>
      <c r="G520" t="str">
        <f>"201406011718"</f>
        <v>201406011718</v>
      </c>
      <c r="H520" t="s">
        <v>73</v>
      </c>
      <c r="I520">
        <v>0</v>
      </c>
      <c r="J520">
        <v>30</v>
      </c>
      <c r="K520">
        <v>0</v>
      </c>
      <c r="L520">
        <v>0</v>
      </c>
      <c r="M520">
        <v>30</v>
      </c>
      <c r="N520">
        <v>0</v>
      </c>
      <c r="O520">
        <v>0</v>
      </c>
      <c r="P520">
        <v>0</v>
      </c>
      <c r="Q520">
        <v>0</v>
      </c>
      <c r="R520">
        <v>84</v>
      </c>
      <c r="S520">
        <v>588</v>
      </c>
      <c r="T520">
        <v>0</v>
      </c>
      <c r="V520">
        <v>2</v>
      </c>
      <c r="W520" t="s">
        <v>897</v>
      </c>
    </row>
    <row r="521" spans="1:23" x14ac:dyDescent="0.25">
      <c r="H521" t="s">
        <v>70</v>
      </c>
    </row>
    <row r="522" spans="1:23" x14ac:dyDescent="0.25">
      <c r="A522">
        <v>258</v>
      </c>
      <c r="B522">
        <v>339</v>
      </c>
      <c r="C522" t="s">
        <v>898</v>
      </c>
      <c r="D522" t="s">
        <v>873</v>
      </c>
      <c r="E522" t="s">
        <v>41</v>
      </c>
      <c r="F522" t="s">
        <v>899</v>
      </c>
      <c r="G522" t="str">
        <f>"201412005126"</f>
        <v>201412005126</v>
      </c>
      <c r="H522" t="s">
        <v>73</v>
      </c>
      <c r="I522">
        <v>0</v>
      </c>
      <c r="J522">
        <v>30</v>
      </c>
      <c r="K522">
        <v>0</v>
      </c>
      <c r="L522">
        <v>30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84</v>
      </c>
      <c r="S522">
        <v>588</v>
      </c>
      <c r="T522">
        <v>0</v>
      </c>
      <c r="V522">
        <v>0</v>
      </c>
      <c r="W522" t="s">
        <v>897</v>
      </c>
    </row>
    <row r="523" spans="1:23" x14ac:dyDescent="0.25">
      <c r="H523" t="s">
        <v>26</v>
      </c>
    </row>
    <row r="524" spans="1:23" x14ac:dyDescent="0.25">
      <c r="A524">
        <v>259</v>
      </c>
      <c r="B524">
        <v>2764</v>
      </c>
      <c r="C524" t="s">
        <v>900</v>
      </c>
      <c r="D524" t="s">
        <v>258</v>
      </c>
      <c r="E524" t="s">
        <v>350</v>
      </c>
      <c r="F524" t="s">
        <v>901</v>
      </c>
      <c r="G524" t="str">
        <f>"200806000258"</f>
        <v>200806000258</v>
      </c>
      <c r="H524" t="s">
        <v>902</v>
      </c>
      <c r="I524">
        <v>150</v>
      </c>
      <c r="J524">
        <v>70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84</v>
      </c>
      <c r="S524">
        <v>588</v>
      </c>
      <c r="T524">
        <v>0</v>
      </c>
      <c r="V524">
        <v>0</v>
      </c>
      <c r="W524" t="s">
        <v>903</v>
      </c>
    </row>
    <row r="525" spans="1:23" x14ac:dyDescent="0.25">
      <c r="H525" t="s">
        <v>70</v>
      </c>
    </row>
    <row r="526" spans="1:23" x14ac:dyDescent="0.25">
      <c r="A526">
        <v>260</v>
      </c>
      <c r="B526">
        <v>2425</v>
      </c>
      <c r="C526" t="s">
        <v>904</v>
      </c>
      <c r="D526" t="s">
        <v>140</v>
      </c>
      <c r="E526" t="s">
        <v>37</v>
      </c>
      <c r="F526" t="s">
        <v>905</v>
      </c>
      <c r="G526" t="str">
        <f>"00124563"</f>
        <v>00124563</v>
      </c>
      <c r="H526" t="s">
        <v>281</v>
      </c>
      <c r="I526">
        <v>0</v>
      </c>
      <c r="J526">
        <v>70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84</v>
      </c>
      <c r="S526">
        <v>588</v>
      </c>
      <c r="T526">
        <v>0</v>
      </c>
      <c r="V526">
        <v>0</v>
      </c>
      <c r="W526" t="s">
        <v>906</v>
      </c>
    </row>
    <row r="527" spans="1:23" x14ac:dyDescent="0.25">
      <c r="H527">
        <v>703</v>
      </c>
    </row>
    <row r="528" spans="1:23" x14ac:dyDescent="0.25">
      <c r="A528">
        <v>261</v>
      </c>
      <c r="B528">
        <v>2714</v>
      </c>
      <c r="C528" t="s">
        <v>907</v>
      </c>
      <c r="D528" t="s">
        <v>610</v>
      </c>
      <c r="E528" t="s">
        <v>105</v>
      </c>
      <c r="F528" t="s">
        <v>908</v>
      </c>
      <c r="G528" t="str">
        <f>"201402008955"</f>
        <v>201402008955</v>
      </c>
      <c r="H528" t="s">
        <v>909</v>
      </c>
      <c r="I528">
        <v>0</v>
      </c>
      <c r="J528">
        <v>30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84</v>
      </c>
      <c r="S528">
        <v>588</v>
      </c>
      <c r="T528">
        <v>0</v>
      </c>
      <c r="V528">
        <v>0</v>
      </c>
      <c r="W528" t="s">
        <v>910</v>
      </c>
    </row>
    <row r="529" spans="1:23" x14ac:dyDescent="0.25">
      <c r="H529" t="s">
        <v>26</v>
      </c>
    </row>
    <row r="530" spans="1:23" x14ac:dyDescent="0.25">
      <c r="A530">
        <v>262</v>
      </c>
      <c r="B530">
        <v>2148</v>
      </c>
      <c r="C530" t="s">
        <v>911</v>
      </c>
      <c r="D530" t="s">
        <v>912</v>
      </c>
      <c r="E530" t="s">
        <v>752</v>
      </c>
      <c r="F530" t="s">
        <v>913</v>
      </c>
      <c r="G530" t="str">
        <f>"00192002"</f>
        <v>00192002</v>
      </c>
      <c r="H530">
        <v>957</v>
      </c>
      <c r="I530">
        <v>150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84</v>
      </c>
      <c r="S530">
        <v>588</v>
      </c>
      <c r="T530">
        <v>0</v>
      </c>
      <c r="V530">
        <v>2</v>
      </c>
      <c r="W530">
        <v>1695</v>
      </c>
    </row>
    <row r="531" spans="1:23" x14ac:dyDescent="0.25">
      <c r="H531">
        <v>703</v>
      </c>
    </row>
    <row r="532" spans="1:23" x14ac:dyDescent="0.25">
      <c r="A532">
        <v>263</v>
      </c>
      <c r="B532">
        <v>2710</v>
      </c>
      <c r="C532" t="s">
        <v>914</v>
      </c>
      <c r="D532" t="s">
        <v>285</v>
      </c>
      <c r="E532" t="s">
        <v>53</v>
      </c>
      <c r="F532" t="s">
        <v>915</v>
      </c>
      <c r="G532" t="str">
        <f>"00106920"</f>
        <v>00106920</v>
      </c>
      <c r="H532">
        <v>1056</v>
      </c>
      <c r="I532">
        <v>0</v>
      </c>
      <c r="J532">
        <v>50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84</v>
      </c>
      <c r="S532">
        <v>588</v>
      </c>
      <c r="T532">
        <v>0</v>
      </c>
      <c r="V532">
        <v>1</v>
      </c>
      <c r="W532">
        <v>1694</v>
      </c>
    </row>
    <row r="533" spans="1:23" x14ac:dyDescent="0.25">
      <c r="H533">
        <v>703</v>
      </c>
    </row>
    <row r="534" spans="1:23" x14ac:dyDescent="0.25">
      <c r="A534">
        <v>264</v>
      </c>
      <c r="B534">
        <v>2461</v>
      </c>
      <c r="C534" t="s">
        <v>916</v>
      </c>
      <c r="D534" t="s">
        <v>46</v>
      </c>
      <c r="E534" t="s">
        <v>99</v>
      </c>
      <c r="F534" t="s">
        <v>917</v>
      </c>
      <c r="G534" t="str">
        <f>"201406004173"</f>
        <v>201406004173</v>
      </c>
      <c r="H534">
        <v>1045</v>
      </c>
      <c r="I534">
        <v>0</v>
      </c>
      <c r="J534">
        <v>70</v>
      </c>
      <c r="K534">
        <v>0</v>
      </c>
      <c r="L534">
        <v>50</v>
      </c>
      <c r="M534">
        <v>0</v>
      </c>
      <c r="N534">
        <v>30</v>
      </c>
      <c r="O534">
        <v>30</v>
      </c>
      <c r="P534">
        <v>0</v>
      </c>
      <c r="Q534">
        <v>0</v>
      </c>
      <c r="R534">
        <v>67</v>
      </c>
      <c r="S534">
        <v>469</v>
      </c>
      <c r="T534">
        <v>0</v>
      </c>
      <c r="V534">
        <v>0</v>
      </c>
      <c r="W534">
        <v>1694</v>
      </c>
    </row>
    <row r="535" spans="1:23" x14ac:dyDescent="0.25">
      <c r="H535" t="s">
        <v>70</v>
      </c>
    </row>
    <row r="536" spans="1:23" x14ac:dyDescent="0.25">
      <c r="A536">
        <v>265</v>
      </c>
      <c r="B536">
        <v>541</v>
      </c>
      <c r="C536" t="s">
        <v>918</v>
      </c>
      <c r="D536" t="s">
        <v>722</v>
      </c>
      <c r="E536" t="s">
        <v>105</v>
      </c>
      <c r="F536" t="s">
        <v>919</v>
      </c>
      <c r="G536" t="str">
        <f>"200801007833"</f>
        <v>200801007833</v>
      </c>
      <c r="H536">
        <v>990</v>
      </c>
      <c r="I536">
        <v>150</v>
      </c>
      <c r="J536">
        <v>50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72</v>
      </c>
      <c r="S536">
        <v>504</v>
      </c>
      <c r="T536">
        <v>0</v>
      </c>
      <c r="V536">
        <v>0</v>
      </c>
      <c r="W536">
        <v>1694</v>
      </c>
    </row>
    <row r="537" spans="1:23" x14ac:dyDescent="0.25">
      <c r="H537">
        <v>703</v>
      </c>
    </row>
    <row r="538" spans="1:23" x14ac:dyDescent="0.25">
      <c r="A538">
        <v>266</v>
      </c>
      <c r="B538">
        <v>1941</v>
      </c>
      <c r="C538" t="s">
        <v>222</v>
      </c>
      <c r="D538" t="s">
        <v>46</v>
      </c>
      <c r="E538" t="s">
        <v>58</v>
      </c>
      <c r="F538" t="s">
        <v>920</v>
      </c>
      <c r="G538" t="str">
        <f>"00193884"</f>
        <v>00193884</v>
      </c>
      <c r="H538" t="s">
        <v>921</v>
      </c>
      <c r="I538">
        <v>150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84</v>
      </c>
      <c r="S538">
        <v>588</v>
      </c>
      <c r="T538">
        <v>0</v>
      </c>
      <c r="V538">
        <v>0</v>
      </c>
      <c r="W538" t="s">
        <v>922</v>
      </c>
    </row>
    <row r="539" spans="1:23" x14ac:dyDescent="0.25">
      <c r="H539">
        <v>703</v>
      </c>
    </row>
    <row r="540" spans="1:23" x14ac:dyDescent="0.25">
      <c r="A540">
        <v>267</v>
      </c>
      <c r="B540">
        <v>2977</v>
      </c>
      <c r="C540" t="s">
        <v>923</v>
      </c>
      <c r="D540" t="s">
        <v>62</v>
      </c>
      <c r="E540" t="s">
        <v>99</v>
      </c>
      <c r="F540" t="s">
        <v>924</v>
      </c>
      <c r="G540" t="str">
        <f>"201512000736"</f>
        <v>201512000736</v>
      </c>
      <c r="H540" t="s">
        <v>921</v>
      </c>
      <c r="I540">
        <v>150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84</v>
      </c>
      <c r="S540">
        <v>588</v>
      </c>
      <c r="T540">
        <v>0</v>
      </c>
      <c r="V540">
        <v>0</v>
      </c>
      <c r="W540" t="s">
        <v>922</v>
      </c>
    </row>
    <row r="541" spans="1:23" x14ac:dyDescent="0.25">
      <c r="H541">
        <v>703</v>
      </c>
    </row>
    <row r="542" spans="1:23" x14ac:dyDescent="0.25">
      <c r="A542">
        <v>268</v>
      </c>
      <c r="B542">
        <v>1172</v>
      </c>
      <c r="C542" t="s">
        <v>925</v>
      </c>
      <c r="D542" t="s">
        <v>911</v>
      </c>
      <c r="E542" t="s">
        <v>109</v>
      </c>
      <c r="F542" t="s">
        <v>926</v>
      </c>
      <c r="G542" t="str">
        <f>"201511018111"</f>
        <v>201511018111</v>
      </c>
      <c r="H542" t="s">
        <v>49</v>
      </c>
      <c r="I542">
        <v>0</v>
      </c>
      <c r="J542">
        <v>50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84</v>
      </c>
      <c r="S542">
        <v>588</v>
      </c>
      <c r="T542">
        <v>0</v>
      </c>
      <c r="V542">
        <v>0</v>
      </c>
      <c r="W542" t="s">
        <v>927</v>
      </c>
    </row>
    <row r="543" spans="1:23" x14ac:dyDescent="0.25">
      <c r="H543">
        <v>703</v>
      </c>
    </row>
    <row r="544" spans="1:23" x14ac:dyDescent="0.25">
      <c r="A544">
        <v>269</v>
      </c>
      <c r="B544">
        <v>2812</v>
      </c>
      <c r="C544" t="s">
        <v>928</v>
      </c>
      <c r="D544" t="s">
        <v>46</v>
      </c>
      <c r="E544" t="s">
        <v>91</v>
      </c>
      <c r="F544" t="s">
        <v>929</v>
      </c>
      <c r="G544" t="str">
        <f>"200811001348"</f>
        <v>200811001348</v>
      </c>
      <c r="H544" t="s">
        <v>495</v>
      </c>
      <c r="I544">
        <v>150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84</v>
      </c>
      <c r="S544">
        <v>588</v>
      </c>
      <c r="T544">
        <v>0</v>
      </c>
      <c r="V544">
        <v>0</v>
      </c>
      <c r="W544" t="s">
        <v>930</v>
      </c>
    </row>
    <row r="545" spans="1:23" x14ac:dyDescent="0.25">
      <c r="H545">
        <v>703</v>
      </c>
    </row>
    <row r="546" spans="1:23" x14ac:dyDescent="0.25">
      <c r="A546">
        <v>270</v>
      </c>
      <c r="B546">
        <v>845</v>
      </c>
      <c r="C546" t="s">
        <v>931</v>
      </c>
      <c r="D546" t="s">
        <v>226</v>
      </c>
      <c r="E546" t="s">
        <v>109</v>
      </c>
      <c r="F546" t="s">
        <v>932</v>
      </c>
      <c r="G546" t="str">
        <f>"200801011147"</f>
        <v>200801011147</v>
      </c>
      <c r="H546" t="s">
        <v>800</v>
      </c>
      <c r="I546">
        <v>150</v>
      </c>
      <c r="J546">
        <v>30</v>
      </c>
      <c r="K546">
        <v>0</v>
      </c>
      <c r="L546">
        <v>0</v>
      </c>
      <c r="M546">
        <v>30</v>
      </c>
      <c r="N546">
        <v>0</v>
      </c>
      <c r="O546">
        <v>0</v>
      </c>
      <c r="P546">
        <v>0</v>
      </c>
      <c r="Q546">
        <v>0</v>
      </c>
      <c r="R546">
        <v>84</v>
      </c>
      <c r="S546">
        <v>588</v>
      </c>
      <c r="T546">
        <v>0</v>
      </c>
      <c r="V546">
        <v>0</v>
      </c>
      <c r="W546" t="s">
        <v>933</v>
      </c>
    </row>
    <row r="547" spans="1:23" x14ac:dyDescent="0.25">
      <c r="H547" t="s">
        <v>70</v>
      </c>
    </row>
    <row r="548" spans="1:23" x14ac:dyDescent="0.25">
      <c r="A548">
        <v>271</v>
      </c>
      <c r="B548">
        <v>111</v>
      </c>
      <c r="C548" t="s">
        <v>934</v>
      </c>
      <c r="D548" t="s">
        <v>185</v>
      </c>
      <c r="E548" t="s">
        <v>935</v>
      </c>
      <c r="F548" t="s">
        <v>936</v>
      </c>
      <c r="G548" t="str">
        <f>"200712005694"</f>
        <v>200712005694</v>
      </c>
      <c r="H548">
        <v>1034</v>
      </c>
      <c r="I548">
        <v>0</v>
      </c>
      <c r="J548">
        <v>70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84</v>
      </c>
      <c r="S548">
        <v>588</v>
      </c>
      <c r="T548">
        <v>0</v>
      </c>
      <c r="V548">
        <v>0</v>
      </c>
      <c r="W548">
        <v>1692</v>
      </c>
    </row>
    <row r="549" spans="1:23" x14ac:dyDescent="0.25">
      <c r="H549">
        <v>703</v>
      </c>
    </row>
    <row r="550" spans="1:23" x14ac:dyDescent="0.25">
      <c r="A550">
        <v>272</v>
      </c>
      <c r="B550">
        <v>944</v>
      </c>
      <c r="C550" t="s">
        <v>937</v>
      </c>
      <c r="D550" t="s">
        <v>67</v>
      </c>
      <c r="E550" t="s">
        <v>15</v>
      </c>
      <c r="F550" t="s">
        <v>938</v>
      </c>
      <c r="G550" t="str">
        <f>"00012282"</f>
        <v>00012282</v>
      </c>
      <c r="H550" t="s">
        <v>137</v>
      </c>
      <c r="I550">
        <v>0</v>
      </c>
      <c r="J550">
        <v>30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84</v>
      </c>
      <c r="S550">
        <v>588</v>
      </c>
      <c r="T550">
        <v>0</v>
      </c>
      <c r="V550">
        <v>0</v>
      </c>
      <c r="W550" t="s">
        <v>939</v>
      </c>
    </row>
    <row r="551" spans="1:23" x14ac:dyDescent="0.25">
      <c r="H551">
        <v>703</v>
      </c>
    </row>
    <row r="552" spans="1:23" x14ac:dyDescent="0.25">
      <c r="A552">
        <v>273</v>
      </c>
      <c r="B552">
        <v>77</v>
      </c>
      <c r="C552" t="s">
        <v>940</v>
      </c>
      <c r="D552" t="s">
        <v>941</v>
      </c>
      <c r="E552" t="s">
        <v>942</v>
      </c>
      <c r="F552" t="s">
        <v>943</v>
      </c>
      <c r="G552" t="str">
        <f>"00122548"</f>
        <v>00122548</v>
      </c>
      <c r="H552">
        <v>1001</v>
      </c>
      <c r="I552">
        <v>0</v>
      </c>
      <c r="J552">
        <v>30</v>
      </c>
      <c r="K552">
        <v>0</v>
      </c>
      <c r="L552">
        <v>0</v>
      </c>
      <c r="M552">
        <v>70</v>
      </c>
      <c r="N552">
        <v>0</v>
      </c>
      <c r="O552">
        <v>0</v>
      </c>
      <c r="P552">
        <v>0</v>
      </c>
      <c r="Q552">
        <v>0</v>
      </c>
      <c r="R552">
        <v>84</v>
      </c>
      <c r="S552">
        <v>588</v>
      </c>
      <c r="T552">
        <v>0</v>
      </c>
      <c r="V552">
        <v>0</v>
      </c>
      <c r="W552">
        <v>1689</v>
      </c>
    </row>
    <row r="553" spans="1:23" x14ac:dyDescent="0.25">
      <c r="H553" t="s">
        <v>70</v>
      </c>
    </row>
    <row r="554" spans="1:23" x14ac:dyDescent="0.25">
      <c r="A554">
        <v>274</v>
      </c>
      <c r="B554">
        <v>2700</v>
      </c>
      <c r="C554" t="s">
        <v>944</v>
      </c>
      <c r="D554" t="s">
        <v>76</v>
      </c>
      <c r="E554" t="s">
        <v>884</v>
      </c>
      <c r="F554" t="s">
        <v>945</v>
      </c>
      <c r="G554" t="str">
        <f>"201304002442"</f>
        <v>201304002442</v>
      </c>
      <c r="H554">
        <v>1001</v>
      </c>
      <c r="I554">
        <v>0</v>
      </c>
      <c r="J554">
        <v>70</v>
      </c>
      <c r="K554">
        <v>30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84</v>
      </c>
      <c r="S554">
        <v>588</v>
      </c>
      <c r="T554">
        <v>0</v>
      </c>
      <c r="V554">
        <v>0</v>
      </c>
      <c r="W554">
        <v>1689</v>
      </c>
    </row>
    <row r="555" spans="1:23" x14ac:dyDescent="0.25">
      <c r="H555" t="s">
        <v>70</v>
      </c>
    </row>
    <row r="556" spans="1:23" x14ac:dyDescent="0.25">
      <c r="A556">
        <v>275</v>
      </c>
      <c r="B556">
        <v>296</v>
      </c>
      <c r="C556" t="s">
        <v>946</v>
      </c>
      <c r="D556" t="s">
        <v>361</v>
      </c>
      <c r="E556" t="s">
        <v>947</v>
      </c>
      <c r="F556" t="s">
        <v>948</v>
      </c>
      <c r="G556" t="str">
        <f>"201411002497"</f>
        <v>201411002497</v>
      </c>
      <c r="H556" t="s">
        <v>142</v>
      </c>
      <c r="I556">
        <v>0</v>
      </c>
      <c r="J556">
        <v>30</v>
      </c>
      <c r="K556">
        <v>30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81</v>
      </c>
      <c r="S556">
        <v>567</v>
      </c>
      <c r="T556">
        <v>0</v>
      </c>
      <c r="V556">
        <v>1</v>
      </c>
      <c r="W556" t="s">
        <v>949</v>
      </c>
    </row>
    <row r="557" spans="1:23" x14ac:dyDescent="0.25">
      <c r="H557" t="s">
        <v>70</v>
      </c>
    </row>
    <row r="558" spans="1:23" x14ac:dyDescent="0.25">
      <c r="A558">
        <v>276</v>
      </c>
      <c r="B558">
        <v>513</v>
      </c>
      <c r="C558" t="s">
        <v>338</v>
      </c>
      <c r="D558" t="s">
        <v>950</v>
      </c>
      <c r="E558" t="s">
        <v>424</v>
      </c>
      <c r="F558" t="s">
        <v>951</v>
      </c>
      <c r="G558" t="str">
        <f>"00093476"</f>
        <v>00093476</v>
      </c>
      <c r="H558">
        <v>1100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84</v>
      </c>
      <c r="S558">
        <v>588</v>
      </c>
      <c r="T558">
        <v>0</v>
      </c>
      <c r="V558">
        <v>1</v>
      </c>
      <c r="W558">
        <v>1688</v>
      </c>
    </row>
    <row r="559" spans="1:23" x14ac:dyDescent="0.25">
      <c r="H559">
        <v>703</v>
      </c>
    </row>
    <row r="560" spans="1:23" x14ac:dyDescent="0.25">
      <c r="A560">
        <v>277</v>
      </c>
      <c r="B560">
        <v>2221</v>
      </c>
      <c r="C560" t="s">
        <v>952</v>
      </c>
      <c r="D560" t="s">
        <v>52</v>
      </c>
      <c r="E560" t="s">
        <v>15</v>
      </c>
      <c r="F560" t="s">
        <v>953</v>
      </c>
      <c r="G560" t="str">
        <f>"00146557"</f>
        <v>00146557</v>
      </c>
      <c r="H560">
        <v>1100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0</v>
      </c>
      <c r="Q560">
        <v>0</v>
      </c>
      <c r="R560">
        <v>84</v>
      </c>
      <c r="S560">
        <v>588</v>
      </c>
      <c r="T560">
        <v>0</v>
      </c>
      <c r="V560">
        <v>1</v>
      </c>
      <c r="W560">
        <v>1688</v>
      </c>
    </row>
    <row r="561" spans="1:23" x14ac:dyDescent="0.25">
      <c r="H561">
        <v>703</v>
      </c>
    </row>
    <row r="562" spans="1:23" x14ac:dyDescent="0.25">
      <c r="A562">
        <v>278</v>
      </c>
      <c r="B562">
        <v>3029</v>
      </c>
      <c r="C562" t="s">
        <v>954</v>
      </c>
      <c r="D562" t="s">
        <v>955</v>
      </c>
      <c r="E562" t="s">
        <v>956</v>
      </c>
      <c r="F562" t="s">
        <v>957</v>
      </c>
      <c r="G562" t="str">
        <f>"201406014356"</f>
        <v>201406014356</v>
      </c>
      <c r="H562" t="s">
        <v>958</v>
      </c>
      <c r="I562">
        <v>0</v>
      </c>
      <c r="J562">
        <v>70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84</v>
      </c>
      <c r="S562">
        <v>588</v>
      </c>
      <c r="T562">
        <v>0</v>
      </c>
      <c r="V562">
        <v>1</v>
      </c>
      <c r="W562" t="s">
        <v>959</v>
      </c>
    </row>
    <row r="563" spans="1:23" x14ac:dyDescent="0.25">
      <c r="H563">
        <v>703</v>
      </c>
    </row>
    <row r="564" spans="1:23" x14ac:dyDescent="0.25">
      <c r="A564">
        <v>279</v>
      </c>
      <c r="B564">
        <v>1321</v>
      </c>
      <c r="C564" t="s">
        <v>960</v>
      </c>
      <c r="D564" t="s">
        <v>20</v>
      </c>
      <c r="E564" t="s">
        <v>21</v>
      </c>
      <c r="F564" t="s">
        <v>961</v>
      </c>
      <c r="G564" t="str">
        <f>"200801007344"</f>
        <v>200801007344</v>
      </c>
      <c r="H564" t="s">
        <v>142</v>
      </c>
      <c r="I564">
        <v>150</v>
      </c>
      <c r="J564">
        <v>70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58</v>
      </c>
      <c r="S564">
        <v>406</v>
      </c>
      <c r="T564">
        <v>0</v>
      </c>
      <c r="V564">
        <v>0</v>
      </c>
      <c r="W564" t="s">
        <v>962</v>
      </c>
    </row>
    <row r="565" spans="1:23" x14ac:dyDescent="0.25">
      <c r="H565">
        <v>703</v>
      </c>
    </row>
    <row r="566" spans="1:23" x14ac:dyDescent="0.25">
      <c r="A566">
        <v>280</v>
      </c>
      <c r="B566">
        <v>2798</v>
      </c>
      <c r="C566" t="s">
        <v>963</v>
      </c>
      <c r="D566" t="s">
        <v>964</v>
      </c>
      <c r="E566" t="s">
        <v>91</v>
      </c>
      <c r="F566" t="s">
        <v>965</v>
      </c>
      <c r="G566" t="str">
        <f>"00030696"</f>
        <v>00030696</v>
      </c>
      <c r="H566" t="s">
        <v>376</v>
      </c>
      <c r="I566">
        <v>0</v>
      </c>
      <c r="J566">
        <v>50</v>
      </c>
      <c r="K566">
        <v>0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84</v>
      </c>
      <c r="S566">
        <v>588</v>
      </c>
      <c r="T566">
        <v>0</v>
      </c>
      <c r="V566">
        <v>0</v>
      </c>
      <c r="W566" t="s">
        <v>966</v>
      </c>
    </row>
    <row r="567" spans="1:23" x14ac:dyDescent="0.25">
      <c r="H567">
        <v>703</v>
      </c>
    </row>
    <row r="568" spans="1:23" x14ac:dyDescent="0.25">
      <c r="A568">
        <v>281</v>
      </c>
      <c r="B568">
        <v>973</v>
      </c>
      <c r="C568" t="s">
        <v>967</v>
      </c>
      <c r="D568" t="s">
        <v>293</v>
      </c>
      <c r="E568" t="s">
        <v>350</v>
      </c>
      <c r="F568" t="s">
        <v>968</v>
      </c>
      <c r="G568" t="str">
        <f>"00020360"</f>
        <v>00020360</v>
      </c>
      <c r="H568">
        <v>869</v>
      </c>
      <c r="I568">
        <v>150</v>
      </c>
      <c r="J568">
        <v>30</v>
      </c>
      <c r="K568">
        <v>0</v>
      </c>
      <c r="L568">
        <v>50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84</v>
      </c>
      <c r="S568">
        <v>588</v>
      </c>
      <c r="T568">
        <v>0</v>
      </c>
      <c r="V568">
        <v>0</v>
      </c>
      <c r="W568">
        <v>1687</v>
      </c>
    </row>
    <row r="569" spans="1:23" x14ac:dyDescent="0.25">
      <c r="H569" t="s">
        <v>26</v>
      </c>
    </row>
    <row r="570" spans="1:23" x14ac:dyDescent="0.25">
      <c r="A570">
        <v>282</v>
      </c>
      <c r="B570">
        <v>2839</v>
      </c>
      <c r="C570" t="s">
        <v>969</v>
      </c>
      <c r="D570" t="s">
        <v>970</v>
      </c>
      <c r="E570" t="s">
        <v>109</v>
      </c>
      <c r="F570" t="s">
        <v>971</v>
      </c>
      <c r="G570" t="str">
        <f>"00224266"</f>
        <v>00224266</v>
      </c>
      <c r="H570" t="s">
        <v>972</v>
      </c>
      <c r="I570">
        <v>0</v>
      </c>
      <c r="J570">
        <v>30</v>
      </c>
      <c r="K570">
        <v>50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84</v>
      </c>
      <c r="S570">
        <v>588</v>
      </c>
      <c r="T570">
        <v>0</v>
      </c>
      <c r="V570">
        <v>0</v>
      </c>
      <c r="W570" t="s">
        <v>973</v>
      </c>
    </row>
    <row r="571" spans="1:23" x14ac:dyDescent="0.25">
      <c r="H571">
        <v>703</v>
      </c>
    </row>
    <row r="572" spans="1:23" x14ac:dyDescent="0.25">
      <c r="A572">
        <v>283</v>
      </c>
      <c r="B572">
        <v>3118</v>
      </c>
      <c r="C572" t="s">
        <v>974</v>
      </c>
      <c r="D572" t="s">
        <v>279</v>
      </c>
      <c r="E572" t="s">
        <v>53</v>
      </c>
      <c r="F572" t="s">
        <v>975</v>
      </c>
      <c r="G572" t="str">
        <f>"201512002270"</f>
        <v>201512002270</v>
      </c>
      <c r="H572">
        <v>1045</v>
      </c>
      <c r="I572">
        <v>0</v>
      </c>
      <c r="J572">
        <v>30</v>
      </c>
      <c r="K572">
        <v>0</v>
      </c>
      <c r="L572">
        <v>30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83</v>
      </c>
      <c r="S572">
        <v>581</v>
      </c>
      <c r="T572">
        <v>0</v>
      </c>
      <c r="V572">
        <v>0</v>
      </c>
      <c r="W572">
        <v>1686</v>
      </c>
    </row>
    <row r="573" spans="1:23" x14ac:dyDescent="0.25">
      <c r="H573" t="s">
        <v>26</v>
      </c>
    </row>
    <row r="574" spans="1:23" x14ac:dyDescent="0.25">
      <c r="A574">
        <v>284</v>
      </c>
      <c r="B574">
        <v>1811</v>
      </c>
      <c r="C574" t="s">
        <v>976</v>
      </c>
      <c r="D574" t="s">
        <v>46</v>
      </c>
      <c r="E574" t="s">
        <v>41</v>
      </c>
      <c r="F574" t="s">
        <v>977</v>
      </c>
      <c r="G574" t="str">
        <f>"201511008225"</f>
        <v>201511008225</v>
      </c>
      <c r="H574" t="s">
        <v>978</v>
      </c>
      <c r="I574">
        <v>150</v>
      </c>
      <c r="J574">
        <v>30</v>
      </c>
      <c r="K574">
        <v>0</v>
      </c>
      <c r="L574">
        <v>0</v>
      </c>
      <c r="M574">
        <v>30</v>
      </c>
      <c r="N574">
        <v>0</v>
      </c>
      <c r="O574">
        <v>0</v>
      </c>
      <c r="P574">
        <v>0</v>
      </c>
      <c r="Q574">
        <v>0</v>
      </c>
      <c r="R574">
        <v>84</v>
      </c>
      <c r="S574">
        <v>588</v>
      </c>
      <c r="T574">
        <v>0</v>
      </c>
      <c r="V574">
        <v>0</v>
      </c>
      <c r="W574" t="s">
        <v>979</v>
      </c>
    </row>
    <row r="575" spans="1:23" x14ac:dyDescent="0.25">
      <c r="H575" t="s">
        <v>70</v>
      </c>
    </row>
    <row r="576" spans="1:23" x14ac:dyDescent="0.25">
      <c r="A576">
        <v>285</v>
      </c>
      <c r="B576">
        <v>2100</v>
      </c>
      <c r="C576" t="s">
        <v>980</v>
      </c>
      <c r="D576" t="s">
        <v>273</v>
      </c>
      <c r="E576" t="s">
        <v>58</v>
      </c>
      <c r="F576" t="s">
        <v>981</v>
      </c>
      <c r="G576" t="str">
        <f>"201406009889"</f>
        <v>201406009889</v>
      </c>
      <c r="H576" t="s">
        <v>982</v>
      </c>
      <c r="I576">
        <v>150</v>
      </c>
      <c r="J576">
        <v>50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84</v>
      </c>
      <c r="S576">
        <v>588</v>
      </c>
      <c r="T576">
        <v>0</v>
      </c>
      <c r="V576">
        <v>0</v>
      </c>
      <c r="W576" t="s">
        <v>983</v>
      </c>
    </row>
    <row r="577" spans="1:23" x14ac:dyDescent="0.25">
      <c r="H577">
        <v>703</v>
      </c>
    </row>
    <row r="578" spans="1:23" x14ac:dyDescent="0.25">
      <c r="A578">
        <v>286</v>
      </c>
      <c r="B578">
        <v>1803</v>
      </c>
      <c r="C578" t="s">
        <v>984</v>
      </c>
      <c r="D578" t="s">
        <v>46</v>
      </c>
      <c r="E578" t="s">
        <v>985</v>
      </c>
      <c r="F578" t="s">
        <v>986</v>
      </c>
      <c r="G578" t="str">
        <f>"00227939"</f>
        <v>00227939</v>
      </c>
      <c r="H578" t="s">
        <v>174</v>
      </c>
      <c r="I578">
        <v>0</v>
      </c>
      <c r="J578">
        <v>70</v>
      </c>
      <c r="K578">
        <v>30</v>
      </c>
      <c r="L578">
        <v>70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65</v>
      </c>
      <c r="S578">
        <v>455</v>
      </c>
      <c r="T578">
        <v>0</v>
      </c>
      <c r="V578">
        <v>2</v>
      </c>
      <c r="W578" t="s">
        <v>987</v>
      </c>
    </row>
    <row r="579" spans="1:23" x14ac:dyDescent="0.25">
      <c r="H579">
        <v>703</v>
      </c>
    </row>
    <row r="580" spans="1:23" x14ac:dyDescent="0.25">
      <c r="A580">
        <v>287</v>
      </c>
      <c r="B580">
        <v>1293</v>
      </c>
      <c r="C580" t="s">
        <v>988</v>
      </c>
      <c r="D580" t="s">
        <v>989</v>
      </c>
      <c r="E580" t="s">
        <v>227</v>
      </c>
      <c r="F580" t="s">
        <v>990</v>
      </c>
      <c r="G580" t="str">
        <f>"201511010972"</f>
        <v>201511010972</v>
      </c>
      <c r="H580">
        <v>1067</v>
      </c>
      <c r="I580">
        <v>0</v>
      </c>
      <c r="J580">
        <v>0</v>
      </c>
      <c r="K580">
        <v>0</v>
      </c>
      <c r="L580">
        <v>30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84</v>
      </c>
      <c r="S580">
        <v>588</v>
      </c>
      <c r="T580">
        <v>0</v>
      </c>
      <c r="V580">
        <v>0</v>
      </c>
      <c r="W580">
        <v>1685</v>
      </c>
    </row>
    <row r="581" spans="1:23" x14ac:dyDescent="0.25">
      <c r="H581" t="s">
        <v>26</v>
      </c>
    </row>
    <row r="582" spans="1:23" x14ac:dyDescent="0.25">
      <c r="A582">
        <v>288</v>
      </c>
      <c r="B582">
        <v>960</v>
      </c>
      <c r="C582" t="s">
        <v>991</v>
      </c>
      <c r="D582" t="s">
        <v>226</v>
      </c>
      <c r="E582" t="s">
        <v>109</v>
      </c>
      <c r="F582" t="s">
        <v>992</v>
      </c>
      <c r="G582" t="str">
        <f>"200806000807"</f>
        <v>200806000807</v>
      </c>
      <c r="H582">
        <v>1067</v>
      </c>
      <c r="I582">
        <v>0</v>
      </c>
      <c r="J582">
        <v>30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84</v>
      </c>
      <c r="S582">
        <v>588</v>
      </c>
      <c r="T582">
        <v>0</v>
      </c>
      <c r="V582">
        <v>0</v>
      </c>
      <c r="W582">
        <v>1685</v>
      </c>
    </row>
    <row r="583" spans="1:23" x14ac:dyDescent="0.25">
      <c r="H583" t="s">
        <v>70</v>
      </c>
    </row>
    <row r="584" spans="1:23" x14ac:dyDescent="0.25">
      <c r="A584">
        <v>289</v>
      </c>
      <c r="B584">
        <v>3006</v>
      </c>
      <c r="C584" t="s">
        <v>993</v>
      </c>
      <c r="D584" t="s">
        <v>76</v>
      </c>
      <c r="E584" t="s">
        <v>15</v>
      </c>
      <c r="F584" t="s">
        <v>994</v>
      </c>
      <c r="G584" t="str">
        <f>"201406018286"</f>
        <v>201406018286</v>
      </c>
      <c r="H584">
        <v>1067</v>
      </c>
      <c r="I584">
        <v>0</v>
      </c>
      <c r="J584">
        <v>30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84</v>
      </c>
      <c r="S584">
        <v>588</v>
      </c>
      <c r="T584">
        <v>0</v>
      </c>
      <c r="V584">
        <v>0</v>
      </c>
      <c r="W584">
        <v>1685</v>
      </c>
    </row>
    <row r="585" spans="1:23" x14ac:dyDescent="0.25">
      <c r="H585">
        <v>703</v>
      </c>
    </row>
    <row r="586" spans="1:23" x14ac:dyDescent="0.25">
      <c r="A586">
        <v>290</v>
      </c>
      <c r="B586">
        <v>86</v>
      </c>
      <c r="C586" t="s">
        <v>995</v>
      </c>
      <c r="D586" t="s">
        <v>369</v>
      </c>
      <c r="E586" t="s">
        <v>76</v>
      </c>
      <c r="F586" t="s">
        <v>996</v>
      </c>
      <c r="G586" t="str">
        <f>"00229664"</f>
        <v>00229664</v>
      </c>
      <c r="H586">
        <v>1067</v>
      </c>
      <c r="I586">
        <v>0</v>
      </c>
      <c r="J586">
        <v>30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84</v>
      </c>
      <c r="S586">
        <v>588</v>
      </c>
      <c r="T586">
        <v>0</v>
      </c>
      <c r="V586">
        <v>0</v>
      </c>
      <c r="W586">
        <v>1685</v>
      </c>
    </row>
    <row r="587" spans="1:23" x14ac:dyDescent="0.25">
      <c r="H587">
        <v>703</v>
      </c>
    </row>
    <row r="588" spans="1:23" x14ac:dyDescent="0.25">
      <c r="A588">
        <v>291</v>
      </c>
      <c r="B588">
        <v>3093</v>
      </c>
      <c r="C588" t="s">
        <v>997</v>
      </c>
      <c r="D588" t="s">
        <v>998</v>
      </c>
      <c r="E588" t="s">
        <v>322</v>
      </c>
      <c r="F588" t="s">
        <v>999</v>
      </c>
      <c r="G588" t="str">
        <f>"00013673"</f>
        <v>00013673</v>
      </c>
      <c r="H588">
        <v>1067</v>
      </c>
      <c r="I588">
        <v>0</v>
      </c>
      <c r="J588">
        <v>30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84</v>
      </c>
      <c r="S588">
        <v>588</v>
      </c>
      <c r="T588">
        <v>0</v>
      </c>
      <c r="V588">
        <v>0</v>
      </c>
      <c r="W588">
        <v>1685</v>
      </c>
    </row>
    <row r="589" spans="1:23" x14ac:dyDescent="0.25">
      <c r="H589">
        <v>703</v>
      </c>
    </row>
    <row r="590" spans="1:23" x14ac:dyDescent="0.25">
      <c r="A590">
        <v>292</v>
      </c>
      <c r="B590">
        <v>266</v>
      </c>
      <c r="C590" t="s">
        <v>338</v>
      </c>
      <c r="D590" t="s">
        <v>140</v>
      </c>
      <c r="E590" t="s">
        <v>53</v>
      </c>
      <c r="F590" t="s">
        <v>1000</v>
      </c>
      <c r="G590" t="str">
        <f>"00141164"</f>
        <v>00141164</v>
      </c>
      <c r="H590" t="s">
        <v>1001</v>
      </c>
      <c r="I590">
        <v>150</v>
      </c>
      <c r="J590">
        <v>50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84</v>
      </c>
      <c r="S590">
        <v>588</v>
      </c>
      <c r="T590">
        <v>0</v>
      </c>
      <c r="V590">
        <v>0</v>
      </c>
      <c r="W590" t="s">
        <v>1002</v>
      </c>
    </row>
    <row r="591" spans="1:23" x14ac:dyDescent="0.25">
      <c r="H591" t="s">
        <v>26</v>
      </c>
    </row>
    <row r="592" spans="1:23" x14ac:dyDescent="0.25">
      <c r="A592">
        <v>293</v>
      </c>
      <c r="B592">
        <v>1194</v>
      </c>
      <c r="C592" t="s">
        <v>1003</v>
      </c>
      <c r="D592" t="s">
        <v>279</v>
      </c>
      <c r="E592" t="s">
        <v>91</v>
      </c>
      <c r="F592" t="s">
        <v>1004</v>
      </c>
      <c r="G592" t="str">
        <f>"201406013961"</f>
        <v>201406013961</v>
      </c>
      <c r="H592" t="s">
        <v>245</v>
      </c>
      <c r="I592">
        <v>0</v>
      </c>
      <c r="J592">
        <v>70</v>
      </c>
      <c r="K592">
        <v>0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84</v>
      </c>
      <c r="S592">
        <v>588</v>
      </c>
      <c r="T592">
        <v>0</v>
      </c>
      <c r="V592">
        <v>0</v>
      </c>
      <c r="W592" t="s">
        <v>1005</v>
      </c>
    </row>
    <row r="593" spans="1:23" x14ac:dyDescent="0.25">
      <c r="H593">
        <v>703</v>
      </c>
    </row>
    <row r="594" spans="1:23" x14ac:dyDescent="0.25">
      <c r="A594">
        <v>294</v>
      </c>
      <c r="B594">
        <v>953</v>
      </c>
      <c r="C594" t="s">
        <v>1006</v>
      </c>
      <c r="D594" t="s">
        <v>258</v>
      </c>
      <c r="E594" t="s">
        <v>109</v>
      </c>
      <c r="F594" t="s">
        <v>1007</v>
      </c>
      <c r="G594" t="str">
        <f>"201405001760"</f>
        <v>201405001760</v>
      </c>
      <c r="H594" t="s">
        <v>622</v>
      </c>
      <c r="I594">
        <v>0</v>
      </c>
      <c r="J594">
        <v>70</v>
      </c>
      <c r="K594">
        <v>0</v>
      </c>
      <c r="L594">
        <v>0</v>
      </c>
      <c r="M594">
        <v>0</v>
      </c>
      <c r="N594">
        <v>50</v>
      </c>
      <c r="O594">
        <v>0</v>
      </c>
      <c r="P594">
        <v>0</v>
      </c>
      <c r="Q594">
        <v>0</v>
      </c>
      <c r="R594">
        <v>84</v>
      </c>
      <c r="S594">
        <v>588</v>
      </c>
      <c r="T594">
        <v>0</v>
      </c>
      <c r="V594">
        <v>0</v>
      </c>
      <c r="W594" t="s">
        <v>1008</v>
      </c>
    </row>
    <row r="595" spans="1:23" x14ac:dyDescent="0.25">
      <c r="H595" t="s">
        <v>70</v>
      </c>
    </row>
    <row r="596" spans="1:23" x14ac:dyDescent="0.25">
      <c r="A596">
        <v>295</v>
      </c>
      <c r="B596">
        <v>1116</v>
      </c>
      <c r="C596" t="s">
        <v>1009</v>
      </c>
      <c r="D596" t="s">
        <v>140</v>
      </c>
      <c r="E596" t="s">
        <v>15</v>
      </c>
      <c r="F596" t="s">
        <v>1010</v>
      </c>
      <c r="G596" t="str">
        <f>"201402011719"</f>
        <v>201402011719</v>
      </c>
      <c r="H596" t="s">
        <v>17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84</v>
      </c>
      <c r="S596">
        <v>588</v>
      </c>
      <c r="T596">
        <v>0</v>
      </c>
      <c r="V596">
        <v>0</v>
      </c>
      <c r="W596" t="s">
        <v>1011</v>
      </c>
    </row>
    <row r="597" spans="1:23" x14ac:dyDescent="0.25">
      <c r="H597">
        <v>703</v>
      </c>
    </row>
    <row r="598" spans="1:23" x14ac:dyDescent="0.25">
      <c r="A598">
        <v>296</v>
      </c>
      <c r="B598">
        <v>430</v>
      </c>
      <c r="C598" t="s">
        <v>1012</v>
      </c>
      <c r="D598" t="s">
        <v>67</v>
      </c>
      <c r="E598" t="s">
        <v>135</v>
      </c>
      <c r="F598" t="s">
        <v>1013</v>
      </c>
      <c r="G598" t="str">
        <f>"201402004709"</f>
        <v>201402004709</v>
      </c>
      <c r="H598" t="s">
        <v>1014</v>
      </c>
      <c r="I598">
        <v>150</v>
      </c>
      <c r="J598">
        <v>70</v>
      </c>
      <c r="K598">
        <v>0</v>
      </c>
      <c r="L598">
        <v>0</v>
      </c>
      <c r="M598">
        <v>0</v>
      </c>
      <c r="N598">
        <v>0</v>
      </c>
      <c r="O598">
        <v>0</v>
      </c>
      <c r="P598">
        <v>0</v>
      </c>
      <c r="Q598">
        <v>0</v>
      </c>
      <c r="R598">
        <v>84</v>
      </c>
      <c r="S598">
        <v>588</v>
      </c>
      <c r="T598">
        <v>0</v>
      </c>
      <c r="V598">
        <v>0</v>
      </c>
      <c r="W598" t="s">
        <v>1011</v>
      </c>
    </row>
    <row r="599" spans="1:23" x14ac:dyDescent="0.25">
      <c r="H599">
        <v>703</v>
      </c>
    </row>
    <row r="600" spans="1:23" x14ac:dyDescent="0.25">
      <c r="A600">
        <v>297</v>
      </c>
      <c r="B600">
        <v>2208</v>
      </c>
      <c r="C600" t="s">
        <v>1015</v>
      </c>
      <c r="D600" t="s">
        <v>273</v>
      </c>
      <c r="E600" t="s">
        <v>76</v>
      </c>
      <c r="F600" t="s">
        <v>1016</v>
      </c>
      <c r="G600" t="str">
        <f>"00148536"</f>
        <v>00148536</v>
      </c>
      <c r="H600" t="s">
        <v>1017</v>
      </c>
      <c r="I600">
        <v>150</v>
      </c>
      <c r="J600">
        <v>50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84</v>
      </c>
      <c r="S600">
        <v>588</v>
      </c>
      <c r="T600">
        <v>0</v>
      </c>
      <c r="V600">
        <v>0</v>
      </c>
      <c r="W600" t="s">
        <v>1018</v>
      </c>
    </row>
    <row r="601" spans="1:23" x14ac:dyDescent="0.25">
      <c r="H601">
        <v>703</v>
      </c>
    </row>
    <row r="602" spans="1:23" x14ac:dyDescent="0.25">
      <c r="A602">
        <v>298</v>
      </c>
      <c r="B602">
        <v>3005</v>
      </c>
      <c r="C602" t="s">
        <v>1019</v>
      </c>
      <c r="D602" t="s">
        <v>87</v>
      </c>
      <c r="E602" t="s">
        <v>53</v>
      </c>
      <c r="F602" t="s">
        <v>1020</v>
      </c>
      <c r="G602" t="str">
        <f>"00037591"</f>
        <v>00037591</v>
      </c>
      <c r="H602">
        <v>990</v>
      </c>
      <c r="I602">
        <v>150</v>
      </c>
      <c r="J602">
        <v>30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73</v>
      </c>
      <c r="S602">
        <v>511</v>
      </c>
      <c r="T602">
        <v>0</v>
      </c>
      <c r="V602">
        <v>0</v>
      </c>
      <c r="W602">
        <v>1681</v>
      </c>
    </row>
    <row r="603" spans="1:23" x14ac:dyDescent="0.25">
      <c r="H603">
        <v>703</v>
      </c>
    </row>
    <row r="604" spans="1:23" x14ac:dyDescent="0.25">
      <c r="A604">
        <v>299</v>
      </c>
      <c r="B604">
        <v>1865</v>
      </c>
      <c r="C604" t="s">
        <v>1021</v>
      </c>
      <c r="D604" t="s">
        <v>273</v>
      </c>
      <c r="E604" t="s">
        <v>47</v>
      </c>
      <c r="F604" t="s">
        <v>1022</v>
      </c>
      <c r="G604" t="str">
        <f>"201406012231"</f>
        <v>201406012231</v>
      </c>
      <c r="H604">
        <v>1023</v>
      </c>
      <c r="I604">
        <v>150</v>
      </c>
      <c r="J604">
        <v>30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68</v>
      </c>
      <c r="S604">
        <v>476</v>
      </c>
      <c r="T604">
        <v>0</v>
      </c>
      <c r="V604">
        <v>0</v>
      </c>
      <c r="W604">
        <v>1679</v>
      </c>
    </row>
    <row r="605" spans="1:23" x14ac:dyDescent="0.25">
      <c r="H605">
        <v>703</v>
      </c>
    </row>
    <row r="606" spans="1:23" x14ac:dyDescent="0.25">
      <c r="A606">
        <v>300</v>
      </c>
      <c r="B606">
        <v>1305</v>
      </c>
      <c r="C606" t="s">
        <v>1023</v>
      </c>
      <c r="D606" t="s">
        <v>40</v>
      </c>
      <c r="E606" t="s">
        <v>109</v>
      </c>
      <c r="F606" t="s">
        <v>1024</v>
      </c>
      <c r="G606" t="str">
        <f>"00119739"</f>
        <v>00119739</v>
      </c>
      <c r="H606">
        <v>946</v>
      </c>
      <c r="I606">
        <v>150</v>
      </c>
      <c r="J606">
        <v>70</v>
      </c>
      <c r="K606">
        <v>0</v>
      </c>
      <c r="L606">
        <v>30</v>
      </c>
      <c r="M606">
        <v>0</v>
      </c>
      <c r="N606">
        <v>0</v>
      </c>
      <c r="O606">
        <v>0</v>
      </c>
      <c r="P606">
        <v>0</v>
      </c>
      <c r="Q606">
        <v>0</v>
      </c>
      <c r="R606">
        <v>69</v>
      </c>
      <c r="S606">
        <v>483</v>
      </c>
      <c r="T606">
        <v>0</v>
      </c>
      <c r="V606">
        <v>0</v>
      </c>
      <c r="W606">
        <v>1679</v>
      </c>
    </row>
    <row r="607" spans="1:23" x14ac:dyDescent="0.25">
      <c r="H607" t="s">
        <v>70</v>
      </c>
    </row>
    <row r="608" spans="1:23" x14ac:dyDescent="0.25">
      <c r="A608">
        <v>301</v>
      </c>
      <c r="B608">
        <v>2823</v>
      </c>
      <c r="C608" t="s">
        <v>1025</v>
      </c>
      <c r="D608" t="s">
        <v>1026</v>
      </c>
      <c r="E608" t="s">
        <v>1027</v>
      </c>
      <c r="F608" t="s">
        <v>1028</v>
      </c>
      <c r="G608" t="str">
        <f>"201405001188"</f>
        <v>201405001188</v>
      </c>
      <c r="H608">
        <v>990</v>
      </c>
      <c r="I608">
        <v>0</v>
      </c>
      <c r="J608">
        <v>0</v>
      </c>
      <c r="K608">
        <v>0</v>
      </c>
      <c r="L608">
        <v>0</v>
      </c>
      <c r="M608">
        <v>30</v>
      </c>
      <c r="N608">
        <v>0</v>
      </c>
      <c r="O608">
        <v>0</v>
      </c>
      <c r="P608">
        <v>0</v>
      </c>
      <c r="Q608">
        <v>70</v>
      </c>
      <c r="R608">
        <v>84</v>
      </c>
      <c r="S608">
        <v>588</v>
      </c>
      <c r="T608">
        <v>0</v>
      </c>
      <c r="V608">
        <v>0</v>
      </c>
      <c r="W608">
        <v>1678</v>
      </c>
    </row>
    <row r="609" spans="1:23" x14ac:dyDescent="0.25">
      <c r="H609" t="s">
        <v>26</v>
      </c>
    </row>
    <row r="610" spans="1:23" x14ac:dyDescent="0.25">
      <c r="A610">
        <v>302</v>
      </c>
      <c r="B610">
        <v>2395</v>
      </c>
      <c r="C610" t="s">
        <v>1029</v>
      </c>
      <c r="D610" t="s">
        <v>1030</v>
      </c>
      <c r="E610" t="s">
        <v>1031</v>
      </c>
      <c r="F610" t="s">
        <v>1032</v>
      </c>
      <c r="G610" t="str">
        <f>"201405002092"</f>
        <v>201405002092</v>
      </c>
      <c r="H610">
        <v>990</v>
      </c>
      <c r="I610">
        <v>0</v>
      </c>
      <c r="J610">
        <v>70</v>
      </c>
      <c r="K610">
        <v>30</v>
      </c>
      <c r="L610">
        <v>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84</v>
      </c>
      <c r="S610">
        <v>588</v>
      </c>
      <c r="T610">
        <v>0</v>
      </c>
      <c r="V610">
        <v>0</v>
      </c>
      <c r="W610">
        <v>1678</v>
      </c>
    </row>
    <row r="611" spans="1:23" x14ac:dyDescent="0.25">
      <c r="H611" t="s">
        <v>70</v>
      </c>
    </row>
    <row r="612" spans="1:23" x14ac:dyDescent="0.25">
      <c r="A612">
        <v>303</v>
      </c>
      <c r="B612">
        <v>242</v>
      </c>
      <c r="C612" t="s">
        <v>1033</v>
      </c>
      <c r="D612" t="s">
        <v>226</v>
      </c>
      <c r="E612" t="s">
        <v>454</v>
      </c>
      <c r="F612" t="s">
        <v>1034</v>
      </c>
      <c r="G612" t="str">
        <f>"201001000526"</f>
        <v>201001000526</v>
      </c>
      <c r="H612" t="s">
        <v>574</v>
      </c>
      <c r="I612">
        <v>150</v>
      </c>
      <c r="J612">
        <v>30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0</v>
      </c>
      <c r="R612">
        <v>84</v>
      </c>
      <c r="S612">
        <v>588</v>
      </c>
      <c r="T612">
        <v>0</v>
      </c>
      <c r="V612">
        <v>2</v>
      </c>
      <c r="W612" t="s">
        <v>1035</v>
      </c>
    </row>
    <row r="613" spans="1:23" x14ac:dyDescent="0.25">
      <c r="H613">
        <v>703</v>
      </c>
    </row>
    <row r="614" spans="1:23" x14ac:dyDescent="0.25">
      <c r="A614">
        <v>304</v>
      </c>
      <c r="B614">
        <v>1792</v>
      </c>
      <c r="C614" t="s">
        <v>1036</v>
      </c>
      <c r="D614" t="s">
        <v>1037</v>
      </c>
      <c r="E614" t="s">
        <v>482</v>
      </c>
      <c r="F614" t="s">
        <v>1038</v>
      </c>
      <c r="G614" t="str">
        <f>"200802006180"</f>
        <v>200802006180</v>
      </c>
      <c r="H614" t="s">
        <v>281</v>
      </c>
      <c r="I614">
        <v>0</v>
      </c>
      <c r="J614">
        <v>50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84</v>
      </c>
      <c r="S614">
        <v>588</v>
      </c>
      <c r="T614">
        <v>0</v>
      </c>
      <c r="V614">
        <v>0</v>
      </c>
      <c r="W614" t="s">
        <v>1039</v>
      </c>
    </row>
    <row r="615" spans="1:23" x14ac:dyDescent="0.25">
      <c r="H615" t="s">
        <v>26</v>
      </c>
    </row>
    <row r="616" spans="1:23" x14ac:dyDescent="0.25">
      <c r="A616">
        <v>305</v>
      </c>
      <c r="B616">
        <v>988</v>
      </c>
      <c r="C616" t="s">
        <v>1040</v>
      </c>
      <c r="D616" t="s">
        <v>1041</v>
      </c>
      <c r="E616" t="s">
        <v>62</v>
      </c>
      <c r="F616" t="s">
        <v>1042</v>
      </c>
      <c r="G616" t="str">
        <f>"00010975"</f>
        <v>00010975</v>
      </c>
      <c r="H616" t="s">
        <v>764</v>
      </c>
      <c r="I616">
        <v>0</v>
      </c>
      <c r="J616">
        <v>30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84</v>
      </c>
      <c r="S616">
        <v>588</v>
      </c>
      <c r="T616">
        <v>0</v>
      </c>
      <c r="V616">
        <v>0</v>
      </c>
      <c r="W616" t="s">
        <v>1043</v>
      </c>
    </row>
    <row r="617" spans="1:23" x14ac:dyDescent="0.25">
      <c r="H617">
        <v>703</v>
      </c>
    </row>
    <row r="618" spans="1:23" x14ac:dyDescent="0.25">
      <c r="A618">
        <v>306</v>
      </c>
      <c r="B618">
        <v>115</v>
      </c>
      <c r="C618" t="s">
        <v>1044</v>
      </c>
      <c r="D618" t="s">
        <v>47</v>
      </c>
      <c r="E618" t="s">
        <v>15</v>
      </c>
      <c r="F618" t="s">
        <v>1045</v>
      </c>
      <c r="G618" t="str">
        <f>"201401002603"</f>
        <v>201401002603</v>
      </c>
      <c r="H618" t="s">
        <v>1046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84</v>
      </c>
      <c r="S618">
        <v>588</v>
      </c>
      <c r="T618">
        <v>0</v>
      </c>
      <c r="V618">
        <v>0</v>
      </c>
      <c r="W618" t="s">
        <v>1047</v>
      </c>
    </row>
    <row r="619" spans="1:23" x14ac:dyDescent="0.25">
      <c r="H619">
        <v>703</v>
      </c>
    </row>
    <row r="620" spans="1:23" x14ac:dyDescent="0.25">
      <c r="A620">
        <v>307</v>
      </c>
      <c r="B620">
        <v>2981</v>
      </c>
      <c r="C620" t="s">
        <v>338</v>
      </c>
      <c r="D620" t="s">
        <v>185</v>
      </c>
      <c r="E620" t="s">
        <v>62</v>
      </c>
      <c r="F620" t="s">
        <v>1048</v>
      </c>
      <c r="G620" t="str">
        <f>"00129890"</f>
        <v>00129890</v>
      </c>
      <c r="H620" t="s">
        <v>1049</v>
      </c>
      <c r="I620">
        <v>150</v>
      </c>
      <c r="J620">
        <v>30</v>
      </c>
      <c r="K620">
        <v>0</v>
      </c>
      <c r="L620">
        <v>0</v>
      </c>
      <c r="M620">
        <v>0</v>
      </c>
      <c r="N620">
        <v>0</v>
      </c>
      <c r="O620">
        <v>0</v>
      </c>
      <c r="P620">
        <v>0</v>
      </c>
      <c r="Q620">
        <v>0</v>
      </c>
      <c r="R620">
        <v>84</v>
      </c>
      <c r="S620">
        <v>588</v>
      </c>
      <c r="T620">
        <v>0</v>
      </c>
      <c r="V620">
        <v>0</v>
      </c>
      <c r="W620" t="s">
        <v>1050</v>
      </c>
    </row>
    <row r="621" spans="1:23" x14ac:dyDescent="0.25">
      <c r="H621">
        <v>703</v>
      </c>
    </row>
    <row r="622" spans="1:23" x14ac:dyDescent="0.25">
      <c r="A622">
        <v>308</v>
      </c>
      <c r="B622">
        <v>627</v>
      </c>
      <c r="C622" t="s">
        <v>1051</v>
      </c>
      <c r="D622" t="s">
        <v>577</v>
      </c>
      <c r="E622" t="s">
        <v>592</v>
      </c>
      <c r="F622" t="s">
        <v>1052</v>
      </c>
      <c r="G622" t="str">
        <f>"00154403"</f>
        <v>00154403</v>
      </c>
      <c r="H622">
        <v>935</v>
      </c>
      <c r="I622">
        <v>150</v>
      </c>
      <c r="J622">
        <v>30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80</v>
      </c>
      <c r="S622">
        <v>560</v>
      </c>
      <c r="T622">
        <v>0</v>
      </c>
      <c r="V622">
        <v>0</v>
      </c>
      <c r="W622">
        <v>1675</v>
      </c>
    </row>
    <row r="623" spans="1:23" x14ac:dyDescent="0.25">
      <c r="H623">
        <v>703</v>
      </c>
    </row>
    <row r="624" spans="1:23" x14ac:dyDescent="0.25">
      <c r="A624">
        <v>309</v>
      </c>
      <c r="B624">
        <v>903</v>
      </c>
      <c r="C624" t="s">
        <v>1053</v>
      </c>
      <c r="D624" t="s">
        <v>46</v>
      </c>
      <c r="E624" t="s">
        <v>523</v>
      </c>
      <c r="F624" t="s">
        <v>1054</v>
      </c>
      <c r="G624" t="str">
        <f>"00023268"</f>
        <v>00023268</v>
      </c>
      <c r="H624" t="s">
        <v>318</v>
      </c>
      <c r="I624">
        <v>150</v>
      </c>
      <c r="J624">
        <v>30</v>
      </c>
      <c r="K624">
        <v>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82</v>
      </c>
      <c r="S624">
        <v>574</v>
      </c>
      <c r="T624">
        <v>0</v>
      </c>
      <c r="V624">
        <v>0</v>
      </c>
      <c r="W624" t="s">
        <v>1055</v>
      </c>
    </row>
    <row r="625" spans="1:23" x14ac:dyDescent="0.25">
      <c r="H625">
        <v>703</v>
      </c>
    </row>
    <row r="626" spans="1:23" x14ac:dyDescent="0.25">
      <c r="A626">
        <v>310</v>
      </c>
      <c r="B626">
        <v>577</v>
      </c>
      <c r="C626" t="s">
        <v>1056</v>
      </c>
      <c r="D626" t="s">
        <v>96</v>
      </c>
      <c r="E626" t="s">
        <v>1057</v>
      </c>
      <c r="F626" t="s">
        <v>1058</v>
      </c>
      <c r="G626" t="str">
        <f>"201507000273"</f>
        <v>201507000273</v>
      </c>
      <c r="H626" t="s">
        <v>1059</v>
      </c>
      <c r="I626">
        <v>0</v>
      </c>
      <c r="J626">
        <v>50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84</v>
      </c>
      <c r="S626">
        <v>588</v>
      </c>
      <c r="T626">
        <v>0</v>
      </c>
      <c r="V626">
        <v>0</v>
      </c>
      <c r="W626" t="s">
        <v>1060</v>
      </c>
    </row>
    <row r="627" spans="1:23" x14ac:dyDescent="0.25">
      <c r="H627" t="s">
        <v>26</v>
      </c>
    </row>
    <row r="628" spans="1:23" x14ac:dyDescent="0.25">
      <c r="A628">
        <v>311</v>
      </c>
      <c r="B628">
        <v>2199</v>
      </c>
      <c r="C628" t="s">
        <v>1061</v>
      </c>
      <c r="D628" t="s">
        <v>46</v>
      </c>
      <c r="E628" t="s">
        <v>15</v>
      </c>
      <c r="F628" t="s">
        <v>1062</v>
      </c>
      <c r="G628" t="str">
        <f>"200802003660"</f>
        <v>200802003660</v>
      </c>
      <c r="H628" t="s">
        <v>1063</v>
      </c>
      <c r="I628">
        <v>0</v>
      </c>
      <c r="J628">
        <v>70</v>
      </c>
      <c r="K628">
        <v>70</v>
      </c>
      <c r="L628">
        <v>0</v>
      </c>
      <c r="M628">
        <v>0</v>
      </c>
      <c r="N628">
        <v>30</v>
      </c>
      <c r="O628">
        <v>0</v>
      </c>
      <c r="P628">
        <v>0</v>
      </c>
      <c r="Q628">
        <v>0</v>
      </c>
      <c r="R628">
        <v>84</v>
      </c>
      <c r="S628">
        <v>588</v>
      </c>
      <c r="T628">
        <v>0</v>
      </c>
      <c r="V628">
        <v>0</v>
      </c>
      <c r="W628" t="s">
        <v>1064</v>
      </c>
    </row>
    <row r="629" spans="1:23" x14ac:dyDescent="0.25">
      <c r="H629" t="s">
        <v>26</v>
      </c>
    </row>
    <row r="630" spans="1:23" x14ac:dyDescent="0.25">
      <c r="A630">
        <v>312</v>
      </c>
      <c r="B630">
        <v>1918</v>
      </c>
      <c r="C630" t="s">
        <v>1065</v>
      </c>
      <c r="D630" t="s">
        <v>273</v>
      </c>
      <c r="E630" t="s">
        <v>1066</v>
      </c>
      <c r="F630" t="s">
        <v>1067</v>
      </c>
      <c r="G630" t="str">
        <f>"00005347"</f>
        <v>00005347</v>
      </c>
      <c r="H630">
        <v>935</v>
      </c>
      <c r="I630">
        <v>150</v>
      </c>
      <c r="J630">
        <v>0</v>
      </c>
      <c r="K630">
        <v>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84</v>
      </c>
      <c r="S630">
        <v>588</v>
      </c>
      <c r="T630">
        <v>0</v>
      </c>
      <c r="V630">
        <v>2</v>
      </c>
      <c r="W630">
        <v>1673</v>
      </c>
    </row>
    <row r="631" spans="1:23" x14ac:dyDescent="0.25">
      <c r="H631">
        <v>703</v>
      </c>
    </row>
    <row r="632" spans="1:23" x14ac:dyDescent="0.25">
      <c r="A632">
        <v>313</v>
      </c>
      <c r="B632">
        <v>2488</v>
      </c>
      <c r="C632" t="s">
        <v>1068</v>
      </c>
      <c r="D632" t="s">
        <v>109</v>
      </c>
      <c r="E632" t="s">
        <v>91</v>
      </c>
      <c r="F632" t="s">
        <v>1069</v>
      </c>
      <c r="G632" t="str">
        <f>"00139997"</f>
        <v>00139997</v>
      </c>
      <c r="H632">
        <v>935</v>
      </c>
      <c r="I632">
        <v>150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84</v>
      </c>
      <c r="S632">
        <v>588</v>
      </c>
      <c r="T632">
        <v>0</v>
      </c>
      <c r="V632">
        <v>0</v>
      </c>
      <c r="W632">
        <v>1673</v>
      </c>
    </row>
    <row r="633" spans="1:23" x14ac:dyDescent="0.25">
      <c r="H633" t="s">
        <v>26</v>
      </c>
    </row>
    <row r="634" spans="1:23" x14ac:dyDescent="0.25">
      <c r="A634">
        <v>314</v>
      </c>
      <c r="B634">
        <v>444</v>
      </c>
      <c r="C634" t="s">
        <v>1070</v>
      </c>
      <c r="D634" t="s">
        <v>1071</v>
      </c>
      <c r="E634" t="s">
        <v>109</v>
      </c>
      <c r="F634" t="s">
        <v>1072</v>
      </c>
      <c r="G634" t="str">
        <f>"00195778"</f>
        <v>00195778</v>
      </c>
      <c r="H634">
        <v>935</v>
      </c>
      <c r="I634">
        <v>150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84</v>
      </c>
      <c r="S634">
        <v>588</v>
      </c>
      <c r="T634">
        <v>0</v>
      </c>
      <c r="V634">
        <v>0</v>
      </c>
      <c r="W634">
        <v>1673</v>
      </c>
    </row>
    <row r="635" spans="1:23" x14ac:dyDescent="0.25">
      <c r="H635" t="s">
        <v>26</v>
      </c>
    </row>
    <row r="636" spans="1:23" x14ac:dyDescent="0.25">
      <c r="A636">
        <v>315</v>
      </c>
      <c r="B636">
        <v>2129</v>
      </c>
      <c r="C636" t="s">
        <v>1073</v>
      </c>
      <c r="D636" t="s">
        <v>1074</v>
      </c>
      <c r="E636" t="s">
        <v>1075</v>
      </c>
      <c r="F636" t="s">
        <v>1076</v>
      </c>
      <c r="G636" t="str">
        <f>"200801004277"</f>
        <v>200801004277</v>
      </c>
      <c r="H636">
        <v>935</v>
      </c>
      <c r="I636">
        <v>150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84</v>
      </c>
      <c r="S636">
        <v>588</v>
      </c>
      <c r="T636">
        <v>0</v>
      </c>
      <c r="V636">
        <v>2</v>
      </c>
      <c r="W636">
        <v>1673</v>
      </c>
    </row>
    <row r="637" spans="1:23" x14ac:dyDescent="0.25">
      <c r="H637">
        <v>703</v>
      </c>
    </row>
    <row r="638" spans="1:23" x14ac:dyDescent="0.25">
      <c r="A638">
        <v>316</v>
      </c>
      <c r="B638">
        <v>2523</v>
      </c>
      <c r="C638" t="s">
        <v>1077</v>
      </c>
      <c r="D638" t="s">
        <v>140</v>
      </c>
      <c r="E638" t="s">
        <v>76</v>
      </c>
      <c r="F638" t="s">
        <v>1078</v>
      </c>
      <c r="G638" t="str">
        <f>"201511031297"</f>
        <v>201511031297</v>
      </c>
      <c r="H638">
        <v>935</v>
      </c>
      <c r="I638">
        <v>150</v>
      </c>
      <c r="J638">
        <v>0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84</v>
      </c>
      <c r="S638">
        <v>588</v>
      </c>
      <c r="T638">
        <v>0</v>
      </c>
      <c r="V638">
        <v>0</v>
      </c>
      <c r="W638">
        <v>1673</v>
      </c>
    </row>
    <row r="639" spans="1:23" x14ac:dyDescent="0.25">
      <c r="H639">
        <v>703</v>
      </c>
    </row>
    <row r="640" spans="1:23" x14ac:dyDescent="0.25">
      <c r="A640">
        <v>317</v>
      </c>
      <c r="B640">
        <v>518</v>
      </c>
      <c r="C640" t="s">
        <v>1079</v>
      </c>
      <c r="D640" t="s">
        <v>1080</v>
      </c>
      <c r="E640" t="s">
        <v>1081</v>
      </c>
      <c r="F640" t="s">
        <v>1082</v>
      </c>
      <c r="G640" t="str">
        <f>"201511009764"</f>
        <v>201511009764</v>
      </c>
      <c r="H640">
        <v>935</v>
      </c>
      <c r="I640">
        <v>150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84</v>
      </c>
      <c r="S640">
        <v>588</v>
      </c>
      <c r="T640">
        <v>0</v>
      </c>
      <c r="V640">
        <v>0</v>
      </c>
      <c r="W640">
        <v>1673</v>
      </c>
    </row>
    <row r="641" spans="1:23" x14ac:dyDescent="0.25">
      <c r="H641">
        <v>703</v>
      </c>
    </row>
    <row r="642" spans="1:23" x14ac:dyDescent="0.25">
      <c r="A642">
        <v>318</v>
      </c>
      <c r="B642">
        <v>1086</v>
      </c>
      <c r="C642" t="s">
        <v>1083</v>
      </c>
      <c r="D642" t="s">
        <v>20</v>
      </c>
      <c r="E642" t="s">
        <v>91</v>
      </c>
      <c r="F642" t="s">
        <v>1084</v>
      </c>
      <c r="G642" t="str">
        <f>"00146427"</f>
        <v>00146427</v>
      </c>
      <c r="H642">
        <v>935</v>
      </c>
      <c r="I642">
        <v>150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84</v>
      </c>
      <c r="S642">
        <v>588</v>
      </c>
      <c r="T642">
        <v>0</v>
      </c>
      <c r="V642">
        <v>0</v>
      </c>
      <c r="W642">
        <v>1673</v>
      </c>
    </row>
    <row r="643" spans="1:23" x14ac:dyDescent="0.25">
      <c r="H643">
        <v>703</v>
      </c>
    </row>
    <row r="644" spans="1:23" x14ac:dyDescent="0.25">
      <c r="A644">
        <v>319</v>
      </c>
      <c r="B644">
        <v>1737</v>
      </c>
      <c r="C644" t="s">
        <v>1085</v>
      </c>
      <c r="D644" t="s">
        <v>67</v>
      </c>
      <c r="E644" t="s">
        <v>424</v>
      </c>
      <c r="F644" t="s">
        <v>1086</v>
      </c>
      <c r="G644" t="str">
        <f>"00224144"</f>
        <v>00224144</v>
      </c>
      <c r="H644">
        <v>935</v>
      </c>
      <c r="I644">
        <v>150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84</v>
      </c>
      <c r="S644">
        <v>588</v>
      </c>
      <c r="T644">
        <v>0</v>
      </c>
      <c r="V644">
        <v>0</v>
      </c>
      <c r="W644">
        <v>1673</v>
      </c>
    </row>
    <row r="645" spans="1:23" x14ac:dyDescent="0.25">
      <c r="H645">
        <v>703</v>
      </c>
    </row>
    <row r="646" spans="1:23" x14ac:dyDescent="0.25">
      <c r="A646">
        <v>320</v>
      </c>
      <c r="B646">
        <v>1539</v>
      </c>
      <c r="C646" t="s">
        <v>1087</v>
      </c>
      <c r="D646" t="s">
        <v>1088</v>
      </c>
      <c r="E646" t="s">
        <v>91</v>
      </c>
      <c r="F646" t="s">
        <v>1089</v>
      </c>
      <c r="G646" t="str">
        <f>"00030422"</f>
        <v>00030422</v>
      </c>
      <c r="H646" t="s">
        <v>49</v>
      </c>
      <c r="I646">
        <v>0</v>
      </c>
      <c r="J646">
        <v>30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84</v>
      </c>
      <c r="S646">
        <v>588</v>
      </c>
      <c r="T646">
        <v>0</v>
      </c>
      <c r="V646">
        <v>0</v>
      </c>
      <c r="W646" t="s">
        <v>1090</v>
      </c>
    </row>
    <row r="647" spans="1:23" x14ac:dyDescent="0.25">
      <c r="H647">
        <v>703</v>
      </c>
    </row>
    <row r="648" spans="1:23" x14ac:dyDescent="0.25">
      <c r="A648">
        <v>321</v>
      </c>
      <c r="B648">
        <v>2228</v>
      </c>
      <c r="C648" t="s">
        <v>1091</v>
      </c>
      <c r="D648" t="s">
        <v>273</v>
      </c>
      <c r="E648" t="s">
        <v>15</v>
      </c>
      <c r="F648" t="s">
        <v>1092</v>
      </c>
      <c r="G648" t="str">
        <f>"00206548"</f>
        <v>00206548</v>
      </c>
      <c r="H648" t="s">
        <v>622</v>
      </c>
      <c r="I648">
        <v>0</v>
      </c>
      <c r="J648">
        <v>30</v>
      </c>
      <c r="K648">
        <v>50</v>
      </c>
      <c r="L648">
        <v>0</v>
      </c>
      <c r="M648">
        <v>0</v>
      </c>
      <c r="N648">
        <v>30</v>
      </c>
      <c r="O648">
        <v>0</v>
      </c>
      <c r="P648">
        <v>0</v>
      </c>
      <c r="Q648">
        <v>0</v>
      </c>
      <c r="R648">
        <v>84</v>
      </c>
      <c r="S648">
        <v>588</v>
      </c>
      <c r="T648">
        <v>0</v>
      </c>
      <c r="V648">
        <v>0</v>
      </c>
      <c r="W648" t="s">
        <v>1093</v>
      </c>
    </row>
    <row r="649" spans="1:23" x14ac:dyDescent="0.25">
      <c r="H649" t="s">
        <v>26</v>
      </c>
    </row>
    <row r="650" spans="1:23" x14ac:dyDescent="0.25">
      <c r="A650">
        <v>322</v>
      </c>
      <c r="B650">
        <v>1935</v>
      </c>
      <c r="C650" t="s">
        <v>1094</v>
      </c>
      <c r="D650" t="s">
        <v>1095</v>
      </c>
      <c r="E650" t="s">
        <v>113</v>
      </c>
      <c r="F650" t="s">
        <v>1096</v>
      </c>
      <c r="G650" t="str">
        <f>"00157946"</f>
        <v>00157946</v>
      </c>
      <c r="H650" t="s">
        <v>1097</v>
      </c>
      <c r="I650">
        <v>0</v>
      </c>
      <c r="J650">
        <v>70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84</v>
      </c>
      <c r="S650">
        <v>588</v>
      </c>
      <c r="T650">
        <v>0</v>
      </c>
      <c r="V650">
        <v>0</v>
      </c>
      <c r="W650" t="s">
        <v>1098</v>
      </c>
    </row>
    <row r="651" spans="1:23" x14ac:dyDescent="0.25">
      <c r="H651" t="s">
        <v>26</v>
      </c>
    </row>
    <row r="652" spans="1:23" x14ac:dyDescent="0.25">
      <c r="A652">
        <v>323</v>
      </c>
      <c r="B652">
        <v>965</v>
      </c>
      <c r="C652" t="s">
        <v>1099</v>
      </c>
      <c r="D652" t="s">
        <v>46</v>
      </c>
      <c r="E652" t="s">
        <v>109</v>
      </c>
      <c r="F652" t="s">
        <v>1100</v>
      </c>
      <c r="G652" t="str">
        <f>"201412006933"</f>
        <v>201412006933</v>
      </c>
      <c r="H652" t="s">
        <v>1101</v>
      </c>
      <c r="I652">
        <v>0</v>
      </c>
      <c r="J652">
        <v>30</v>
      </c>
      <c r="K652">
        <v>30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84</v>
      </c>
      <c r="S652">
        <v>588</v>
      </c>
      <c r="T652">
        <v>0</v>
      </c>
      <c r="V652">
        <v>0</v>
      </c>
      <c r="W652" t="s">
        <v>1102</v>
      </c>
    </row>
    <row r="653" spans="1:23" x14ac:dyDescent="0.25">
      <c r="H653" t="s">
        <v>70</v>
      </c>
    </row>
    <row r="654" spans="1:23" x14ac:dyDescent="0.25">
      <c r="A654">
        <v>324</v>
      </c>
      <c r="B654">
        <v>1173</v>
      </c>
      <c r="C654" t="s">
        <v>1103</v>
      </c>
      <c r="D654" t="s">
        <v>1104</v>
      </c>
      <c r="E654" t="s">
        <v>58</v>
      </c>
      <c r="F654" t="s">
        <v>1105</v>
      </c>
      <c r="G654" t="str">
        <f>"201406004274"</f>
        <v>201406004274</v>
      </c>
      <c r="H654">
        <v>1100</v>
      </c>
      <c r="I654">
        <v>150</v>
      </c>
      <c r="J654">
        <v>30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56</v>
      </c>
      <c r="S654">
        <v>392</v>
      </c>
      <c r="T654">
        <v>0</v>
      </c>
      <c r="V654">
        <v>0</v>
      </c>
      <c r="W654">
        <v>1672</v>
      </c>
    </row>
    <row r="655" spans="1:23" x14ac:dyDescent="0.25">
      <c r="H655">
        <v>703</v>
      </c>
    </row>
    <row r="656" spans="1:23" x14ac:dyDescent="0.25">
      <c r="A656">
        <v>325</v>
      </c>
      <c r="B656">
        <v>803</v>
      </c>
      <c r="C656" t="s">
        <v>1106</v>
      </c>
      <c r="D656" t="s">
        <v>87</v>
      </c>
      <c r="E656" t="s">
        <v>47</v>
      </c>
      <c r="F656" t="s">
        <v>1107</v>
      </c>
      <c r="G656" t="str">
        <f>"00225227"</f>
        <v>00225227</v>
      </c>
      <c r="H656">
        <v>1034</v>
      </c>
      <c r="I656">
        <v>0</v>
      </c>
      <c r="J656">
        <v>50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84</v>
      </c>
      <c r="S656">
        <v>588</v>
      </c>
      <c r="T656">
        <v>0</v>
      </c>
      <c r="V656">
        <v>0</v>
      </c>
      <c r="W656">
        <v>1672</v>
      </c>
    </row>
    <row r="657" spans="1:23" x14ac:dyDescent="0.25">
      <c r="H657">
        <v>703</v>
      </c>
    </row>
    <row r="658" spans="1:23" x14ac:dyDescent="0.25">
      <c r="A658">
        <v>326</v>
      </c>
      <c r="B658">
        <v>935</v>
      </c>
      <c r="C658" t="s">
        <v>1108</v>
      </c>
      <c r="D658" t="s">
        <v>46</v>
      </c>
      <c r="E658" t="s">
        <v>68</v>
      </c>
      <c r="F658" t="s">
        <v>1109</v>
      </c>
      <c r="G658" t="str">
        <f>"201511025214"</f>
        <v>201511025214</v>
      </c>
      <c r="H658" t="s">
        <v>131</v>
      </c>
      <c r="I658">
        <v>0</v>
      </c>
      <c r="J658">
        <v>30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84</v>
      </c>
      <c r="S658">
        <v>588</v>
      </c>
      <c r="T658">
        <v>0</v>
      </c>
      <c r="V658">
        <v>1</v>
      </c>
      <c r="W658" t="s">
        <v>1110</v>
      </c>
    </row>
    <row r="659" spans="1:23" x14ac:dyDescent="0.25">
      <c r="H659" t="s">
        <v>26</v>
      </c>
    </row>
    <row r="660" spans="1:23" x14ac:dyDescent="0.25">
      <c r="A660">
        <v>327</v>
      </c>
      <c r="B660">
        <v>2165</v>
      </c>
      <c r="C660" t="s">
        <v>86</v>
      </c>
      <c r="D660" t="s">
        <v>134</v>
      </c>
      <c r="E660" t="s">
        <v>1111</v>
      </c>
      <c r="F660" t="s">
        <v>1112</v>
      </c>
      <c r="G660" t="str">
        <f>"201406012479"</f>
        <v>201406012479</v>
      </c>
      <c r="H660">
        <v>1012</v>
      </c>
      <c r="I660">
        <v>0</v>
      </c>
      <c r="J660">
        <v>70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84</v>
      </c>
      <c r="S660">
        <v>588</v>
      </c>
      <c r="T660">
        <v>0</v>
      </c>
      <c r="V660">
        <v>0</v>
      </c>
      <c r="W660">
        <v>1670</v>
      </c>
    </row>
    <row r="661" spans="1:23" x14ac:dyDescent="0.25">
      <c r="H661">
        <v>703</v>
      </c>
    </row>
    <row r="662" spans="1:23" x14ac:dyDescent="0.25">
      <c r="A662">
        <v>328</v>
      </c>
      <c r="B662">
        <v>2180</v>
      </c>
      <c r="C662" t="s">
        <v>1113</v>
      </c>
      <c r="D662" t="s">
        <v>140</v>
      </c>
      <c r="E662" t="s">
        <v>41</v>
      </c>
      <c r="F662" t="s">
        <v>1114</v>
      </c>
      <c r="G662" t="str">
        <f>"00126953"</f>
        <v>00126953</v>
      </c>
      <c r="H662">
        <v>902</v>
      </c>
      <c r="I662">
        <v>150</v>
      </c>
      <c r="J662">
        <v>30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84</v>
      </c>
      <c r="S662">
        <v>588</v>
      </c>
      <c r="T662">
        <v>0</v>
      </c>
      <c r="V662">
        <v>0</v>
      </c>
      <c r="W662">
        <v>1670</v>
      </c>
    </row>
    <row r="663" spans="1:23" x14ac:dyDescent="0.25">
      <c r="H663">
        <v>703</v>
      </c>
    </row>
    <row r="664" spans="1:23" x14ac:dyDescent="0.25">
      <c r="A664">
        <v>329</v>
      </c>
      <c r="B664">
        <v>2093</v>
      </c>
      <c r="C664" t="s">
        <v>1115</v>
      </c>
      <c r="D664" t="s">
        <v>285</v>
      </c>
      <c r="E664" t="s">
        <v>76</v>
      </c>
      <c r="F664" t="s">
        <v>1116</v>
      </c>
      <c r="G664" t="str">
        <f>"00020501"</f>
        <v>00020501</v>
      </c>
      <c r="H664">
        <v>902</v>
      </c>
      <c r="I664">
        <v>150</v>
      </c>
      <c r="J664">
        <v>30</v>
      </c>
      <c r="K664">
        <v>0</v>
      </c>
      <c r="L664">
        <v>0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84</v>
      </c>
      <c r="S664">
        <v>588</v>
      </c>
      <c r="T664">
        <v>0</v>
      </c>
      <c r="V664">
        <v>0</v>
      </c>
      <c r="W664">
        <v>1670</v>
      </c>
    </row>
    <row r="665" spans="1:23" x14ac:dyDescent="0.25">
      <c r="H665">
        <v>703</v>
      </c>
    </row>
    <row r="666" spans="1:23" x14ac:dyDescent="0.25">
      <c r="A666">
        <v>330</v>
      </c>
      <c r="B666">
        <v>246</v>
      </c>
      <c r="C666" t="s">
        <v>1117</v>
      </c>
      <c r="D666" t="s">
        <v>185</v>
      </c>
      <c r="E666" t="s">
        <v>105</v>
      </c>
      <c r="F666" t="s">
        <v>1118</v>
      </c>
      <c r="G666" t="str">
        <f>"00228889"</f>
        <v>00228889</v>
      </c>
      <c r="H666" t="s">
        <v>177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84</v>
      </c>
      <c r="S666">
        <v>588</v>
      </c>
      <c r="T666">
        <v>0</v>
      </c>
      <c r="V666">
        <v>0</v>
      </c>
      <c r="W666" t="s">
        <v>1119</v>
      </c>
    </row>
    <row r="667" spans="1:23" x14ac:dyDescent="0.25">
      <c r="H667">
        <v>703</v>
      </c>
    </row>
    <row r="668" spans="1:23" x14ac:dyDescent="0.25">
      <c r="A668">
        <v>331</v>
      </c>
      <c r="B668">
        <v>1746</v>
      </c>
      <c r="C668" t="s">
        <v>1120</v>
      </c>
      <c r="D668" t="s">
        <v>911</v>
      </c>
      <c r="E668" t="s">
        <v>91</v>
      </c>
      <c r="F668" t="s">
        <v>1121</v>
      </c>
      <c r="G668" t="str">
        <f>"00206419"</f>
        <v>00206419</v>
      </c>
      <c r="H668" t="s">
        <v>177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84</v>
      </c>
      <c r="S668">
        <v>588</v>
      </c>
      <c r="T668">
        <v>0</v>
      </c>
      <c r="V668">
        <v>0</v>
      </c>
      <c r="W668" t="s">
        <v>1119</v>
      </c>
    </row>
    <row r="669" spans="1:23" x14ac:dyDescent="0.25">
      <c r="H669">
        <v>703</v>
      </c>
    </row>
    <row r="670" spans="1:23" x14ac:dyDescent="0.25">
      <c r="A670">
        <v>332</v>
      </c>
      <c r="B670">
        <v>883</v>
      </c>
      <c r="C670" t="s">
        <v>1122</v>
      </c>
      <c r="D670" t="s">
        <v>285</v>
      </c>
      <c r="E670" t="s">
        <v>76</v>
      </c>
      <c r="F670" t="s">
        <v>1123</v>
      </c>
      <c r="G670" t="str">
        <f>"201405001215"</f>
        <v>201405001215</v>
      </c>
      <c r="H670" t="s">
        <v>1124</v>
      </c>
      <c r="I670">
        <v>0</v>
      </c>
      <c r="J670">
        <v>50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84</v>
      </c>
      <c r="S670">
        <v>588</v>
      </c>
      <c r="T670">
        <v>0</v>
      </c>
      <c r="V670">
        <v>0</v>
      </c>
      <c r="W670" t="s">
        <v>1125</v>
      </c>
    </row>
    <row r="671" spans="1:23" x14ac:dyDescent="0.25">
      <c r="H671">
        <v>703</v>
      </c>
    </row>
    <row r="672" spans="1:23" x14ac:dyDescent="0.25">
      <c r="A672">
        <v>333</v>
      </c>
      <c r="B672">
        <v>2329</v>
      </c>
      <c r="C672" t="s">
        <v>1126</v>
      </c>
      <c r="D672" t="s">
        <v>1127</v>
      </c>
      <c r="E672" t="s">
        <v>91</v>
      </c>
      <c r="F672" t="s">
        <v>1128</v>
      </c>
      <c r="G672" t="str">
        <f>"00224409"</f>
        <v>00224409</v>
      </c>
      <c r="H672" t="s">
        <v>73</v>
      </c>
      <c r="I672">
        <v>0</v>
      </c>
      <c r="J672">
        <v>30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84</v>
      </c>
      <c r="S672">
        <v>588</v>
      </c>
      <c r="T672">
        <v>0</v>
      </c>
      <c r="V672">
        <v>0</v>
      </c>
      <c r="W672" t="s">
        <v>1129</v>
      </c>
    </row>
    <row r="673" spans="1:23" x14ac:dyDescent="0.25">
      <c r="H673">
        <v>703</v>
      </c>
    </row>
    <row r="674" spans="1:23" x14ac:dyDescent="0.25">
      <c r="A674">
        <v>334</v>
      </c>
      <c r="B674">
        <v>2188</v>
      </c>
      <c r="C674" t="s">
        <v>1130</v>
      </c>
      <c r="D674" t="s">
        <v>911</v>
      </c>
      <c r="E674" t="s">
        <v>1131</v>
      </c>
      <c r="F674" t="s">
        <v>1132</v>
      </c>
      <c r="G674" t="str">
        <f>"201412005454"</f>
        <v>201412005454</v>
      </c>
      <c r="H674" t="s">
        <v>73</v>
      </c>
      <c r="I674">
        <v>0</v>
      </c>
      <c r="J674">
        <v>30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84</v>
      </c>
      <c r="S674">
        <v>588</v>
      </c>
      <c r="T674">
        <v>0</v>
      </c>
      <c r="V674">
        <v>0</v>
      </c>
      <c r="W674" t="s">
        <v>1129</v>
      </c>
    </row>
    <row r="675" spans="1:23" x14ac:dyDescent="0.25">
      <c r="H675">
        <v>703</v>
      </c>
    </row>
    <row r="676" spans="1:23" x14ac:dyDescent="0.25">
      <c r="A676">
        <v>335</v>
      </c>
      <c r="B676">
        <v>3101</v>
      </c>
      <c r="C676" t="s">
        <v>1133</v>
      </c>
      <c r="D676" t="s">
        <v>140</v>
      </c>
      <c r="E676" t="s">
        <v>1134</v>
      </c>
      <c r="F676" t="s">
        <v>1135</v>
      </c>
      <c r="G676" t="str">
        <f>"201406018694"</f>
        <v>201406018694</v>
      </c>
      <c r="H676" t="s">
        <v>73</v>
      </c>
      <c r="I676">
        <v>0</v>
      </c>
      <c r="J676">
        <v>30</v>
      </c>
      <c r="K676">
        <v>70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74</v>
      </c>
      <c r="S676">
        <v>518</v>
      </c>
      <c r="T676">
        <v>0</v>
      </c>
      <c r="V676">
        <v>0</v>
      </c>
      <c r="W676" t="s">
        <v>1129</v>
      </c>
    </row>
    <row r="677" spans="1:23" x14ac:dyDescent="0.25">
      <c r="H677" t="s">
        <v>70</v>
      </c>
    </row>
    <row r="678" spans="1:23" x14ac:dyDescent="0.25">
      <c r="A678">
        <v>336</v>
      </c>
      <c r="B678">
        <v>1143</v>
      </c>
      <c r="C678" t="s">
        <v>1136</v>
      </c>
      <c r="D678" t="s">
        <v>597</v>
      </c>
      <c r="E678" t="s">
        <v>1137</v>
      </c>
      <c r="F678" t="s">
        <v>1138</v>
      </c>
      <c r="G678" t="str">
        <f>"00227931"</f>
        <v>00227931</v>
      </c>
      <c r="H678" t="s">
        <v>158</v>
      </c>
      <c r="I678">
        <v>0</v>
      </c>
      <c r="J678">
        <v>30</v>
      </c>
      <c r="K678">
        <v>0</v>
      </c>
      <c r="L678">
        <v>0</v>
      </c>
      <c r="M678">
        <v>30</v>
      </c>
      <c r="N678">
        <v>0</v>
      </c>
      <c r="O678">
        <v>0</v>
      </c>
      <c r="P678">
        <v>0</v>
      </c>
      <c r="Q678">
        <v>0</v>
      </c>
      <c r="R678">
        <v>84</v>
      </c>
      <c r="S678">
        <v>588</v>
      </c>
      <c r="T678">
        <v>0</v>
      </c>
      <c r="V678">
        <v>0</v>
      </c>
      <c r="W678" t="s">
        <v>1139</v>
      </c>
    </row>
    <row r="679" spans="1:23" x14ac:dyDescent="0.25">
      <c r="H679">
        <v>703</v>
      </c>
    </row>
    <row r="680" spans="1:23" x14ac:dyDescent="0.25">
      <c r="A680">
        <v>337</v>
      </c>
      <c r="B680">
        <v>1155</v>
      </c>
      <c r="C680" t="s">
        <v>1140</v>
      </c>
      <c r="D680" t="s">
        <v>273</v>
      </c>
      <c r="E680" t="s">
        <v>15</v>
      </c>
      <c r="F680" t="s">
        <v>1141</v>
      </c>
      <c r="G680" t="str">
        <f>"00223818"</f>
        <v>00223818</v>
      </c>
      <c r="H680" t="s">
        <v>376</v>
      </c>
      <c r="I680">
        <v>0</v>
      </c>
      <c r="J680">
        <v>30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84</v>
      </c>
      <c r="S680">
        <v>588</v>
      </c>
      <c r="T680">
        <v>0</v>
      </c>
      <c r="V680">
        <v>0</v>
      </c>
      <c r="W680" t="s">
        <v>1142</v>
      </c>
    </row>
    <row r="681" spans="1:23" x14ac:dyDescent="0.25">
      <c r="H681">
        <v>703</v>
      </c>
    </row>
    <row r="682" spans="1:23" x14ac:dyDescent="0.25">
      <c r="A682">
        <v>338</v>
      </c>
      <c r="B682">
        <v>38</v>
      </c>
      <c r="C682" t="s">
        <v>1143</v>
      </c>
      <c r="D682" t="s">
        <v>1144</v>
      </c>
      <c r="E682" t="s">
        <v>53</v>
      </c>
      <c r="F682" t="s">
        <v>1145</v>
      </c>
      <c r="G682" t="str">
        <f>"00139847"</f>
        <v>00139847</v>
      </c>
      <c r="H682" t="s">
        <v>376</v>
      </c>
      <c r="I682">
        <v>0</v>
      </c>
      <c r="J682">
        <v>30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84</v>
      </c>
      <c r="S682">
        <v>588</v>
      </c>
      <c r="T682">
        <v>0</v>
      </c>
      <c r="V682">
        <v>0</v>
      </c>
      <c r="W682" t="s">
        <v>1142</v>
      </c>
    </row>
    <row r="683" spans="1:23" x14ac:dyDescent="0.25">
      <c r="H683">
        <v>703</v>
      </c>
    </row>
    <row r="684" spans="1:23" x14ac:dyDescent="0.25">
      <c r="A684">
        <v>339</v>
      </c>
      <c r="B684">
        <v>862</v>
      </c>
      <c r="C684" t="s">
        <v>1146</v>
      </c>
      <c r="D684" t="s">
        <v>226</v>
      </c>
      <c r="E684" t="s">
        <v>1147</v>
      </c>
      <c r="F684" t="s">
        <v>1148</v>
      </c>
      <c r="G684" t="str">
        <f>"201402002742"</f>
        <v>201402002742</v>
      </c>
      <c r="H684" t="s">
        <v>909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84</v>
      </c>
      <c r="S684">
        <v>588</v>
      </c>
      <c r="T684">
        <v>0</v>
      </c>
      <c r="V684">
        <v>0</v>
      </c>
      <c r="W684" t="s">
        <v>1149</v>
      </c>
    </row>
    <row r="685" spans="1:23" x14ac:dyDescent="0.25">
      <c r="H685">
        <v>703</v>
      </c>
    </row>
    <row r="686" spans="1:23" x14ac:dyDescent="0.25">
      <c r="A686">
        <v>340</v>
      </c>
      <c r="B686">
        <v>2618</v>
      </c>
      <c r="C686" t="s">
        <v>1150</v>
      </c>
      <c r="D686" t="s">
        <v>46</v>
      </c>
      <c r="E686" t="s">
        <v>592</v>
      </c>
      <c r="F686" t="s">
        <v>1151</v>
      </c>
      <c r="G686" t="str">
        <f>"00142030"</f>
        <v>00142030</v>
      </c>
      <c r="H686">
        <v>979</v>
      </c>
      <c r="I686">
        <v>0</v>
      </c>
      <c r="J686">
        <v>70</v>
      </c>
      <c r="K686">
        <v>30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84</v>
      </c>
      <c r="S686">
        <v>588</v>
      </c>
      <c r="T686">
        <v>0</v>
      </c>
      <c r="V686">
        <v>0</v>
      </c>
      <c r="W686">
        <v>1667</v>
      </c>
    </row>
    <row r="687" spans="1:23" x14ac:dyDescent="0.25">
      <c r="H687" t="s">
        <v>26</v>
      </c>
    </row>
    <row r="688" spans="1:23" x14ac:dyDescent="0.25">
      <c r="A688">
        <v>341</v>
      </c>
      <c r="B688">
        <v>89</v>
      </c>
      <c r="C688" t="s">
        <v>974</v>
      </c>
      <c r="D688" t="s">
        <v>1152</v>
      </c>
      <c r="E688" t="s">
        <v>752</v>
      </c>
      <c r="F688" t="s">
        <v>1153</v>
      </c>
      <c r="G688" t="str">
        <f>"200802003499"</f>
        <v>200802003499</v>
      </c>
      <c r="H688">
        <v>979</v>
      </c>
      <c r="I688">
        <v>0</v>
      </c>
      <c r="J688">
        <v>70</v>
      </c>
      <c r="K688">
        <v>0</v>
      </c>
      <c r="L688">
        <v>0</v>
      </c>
      <c r="M688">
        <v>0</v>
      </c>
      <c r="N688">
        <v>30</v>
      </c>
      <c r="O688">
        <v>0</v>
      </c>
      <c r="P688">
        <v>0</v>
      </c>
      <c r="Q688">
        <v>0</v>
      </c>
      <c r="R688">
        <v>84</v>
      </c>
      <c r="S688">
        <v>588</v>
      </c>
      <c r="T688">
        <v>0</v>
      </c>
      <c r="V688">
        <v>0</v>
      </c>
      <c r="W688">
        <v>1667</v>
      </c>
    </row>
    <row r="689" spans="1:23" x14ac:dyDescent="0.25">
      <c r="H689" t="s">
        <v>70</v>
      </c>
    </row>
    <row r="690" spans="1:23" x14ac:dyDescent="0.25">
      <c r="A690">
        <v>342</v>
      </c>
      <c r="B690">
        <v>1893</v>
      </c>
      <c r="C690" t="s">
        <v>1154</v>
      </c>
      <c r="D690" t="s">
        <v>226</v>
      </c>
      <c r="E690" t="s">
        <v>607</v>
      </c>
      <c r="F690" t="s">
        <v>1155</v>
      </c>
      <c r="G690" t="str">
        <f>"201406014959"</f>
        <v>201406014959</v>
      </c>
      <c r="H690">
        <v>979</v>
      </c>
      <c r="I690">
        <v>0</v>
      </c>
      <c r="J690">
        <v>70</v>
      </c>
      <c r="K690">
        <v>0</v>
      </c>
      <c r="L690">
        <v>0</v>
      </c>
      <c r="M690">
        <v>0</v>
      </c>
      <c r="N690">
        <v>30</v>
      </c>
      <c r="O690">
        <v>0</v>
      </c>
      <c r="P690">
        <v>0</v>
      </c>
      <c r="Q690">
        <v>0</v>
      </c>
      <c r="R690">
        <v>84</v>
      </c>
      <c r="S690">
        <v>588</v>
      </c>
      <c r="T690">
        <v>0</v>
      </c>
      <c r="V690">
        <v>0</v>
      </c>
      <c r="W690">
        <v>1667</v>
      </c>
    </row>
    <row r="691" spans="1:23" x14ac:dyDescent="0.25">
      <c r="H691" t="s">
        <v>70</v>
      </c>
    </row>
    <row r="692" spans="1:23" x14ac:dyDescent="0.25">
      <c r="A692">
        <v>343</v>
      </c>
      <c r="B692">
        <v>860</v>
      </c>
      <c r="C692" t="s">
        <v>1156</v>
      </c>
      <c r="D692" t="s">
        <v>254</v>
      </c>
      <c r="E692" t="s">
        <v>76</v>
      </c>
      <c r="F692" t="s">
        <v>1157</v>
      </c>
      <c r="G692" t="str">
        <f>"201506004463"</f>
        <v>201506004463</v>
      </c>
      <c r="H692" t="s">
        <v>17</v>
      </c>
      <c r="I692">
        <v>150</v>
      </c>
      <c r="J692">
        <v>30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56</v>
      </c>
      <c r="S692">
        <v>392</v>
      </c>
      <c r="T692">
        <v>0</v>
      </c>
      <c r="V692">
        <v>0</v>
      </c>
      <c r="W692" t="s">
        <v>1158</v>
      </c>
    </row>
    <row r="693" spans="1:23" x14ac:dyDescent="0.25">
      <c r="H693">
        <v>703</v>
      </c>
    </row>
    <row r="694" spans="1:23" x14ac:dyDescent="0.25">
      <c r="A694">
        <v>344</v>
      </c>
      <c r="B694">
        <v>1687</v>
      </c>
      <c r="C694" t="s">
        <v>1159</v>
      </c>
      <c r="D694" t="s">
        <v>279</v>
      </c>
      <c r="E694" t="s">
        <v>41</v>
      </c>
      <c r="F694" t="s">
        <v>1160</v>
      </c>
      <c r="G694" t="str">
        <f>"200810000819"</f>
        <v>200810000819</v>
      </c>
      <c r="H694" t="s">
        <v>81</v>
      </c>
      <c r="I694">
        <v>0</v>
      </c>
      <c r="J694">
        <v>30</v>
      </c>
      <c r="K694">
        <v>0</v>
      </c>
      <c r="L694">
        <v>0</v>
      </c>
      <c r="M694">
        <v>0</v>
      </c>
      <c r="N694">
        <v>0</v>
      </c>
      <c r="O694">
        <v>0</v>
      </c>
      <c r="P694">
        <v>0</v>
      </c>
      <c r="Q694">
        <v>0</v>
      </c>
      <c r="R694">
        <v>84</v>
      </c>
      <c r="S694">
        <v>588</v>
      </c>
      <c r="T694">
        <v>0</v>
      </c>
      <c r="V694">
        <v>0</v>
      </c>
      <c r="W694" t="s">
        <v>1161</v>
      </c>
    </row>
    <row r="695" spans="1:23" x14ac:dyDescent="0.25">
      <c r="H695">
        <v>703</v>
      </c>
    </row>
    <row r="696" spans="1:23" x14ac:dyDescent="0.25">
      <c r="A696">
        <v>345</v>
      </c>
      <c r="B696">
        <v>2032</v>
      </c>
      <c r="C696" t="s">
        <v>1162</v>
      </c>
      <c r="D696" t="s">
        <v>1163</v>
      </c>
      <c r="E696" t="s">
        <v>91</v>
      </c>
      <c r="F696" t="s">
        <v>1164</v>
      </c>
      <c r="G696" t="str">
        <f>"00145142"</f>
        <v>00145142</v>
      </c>
      <c r="H696">
        <v>858</v>
      </c>
      <c r="I696">
        <v>150</v>
      </c>
      <c r="J696">
        <v>70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84</v>
      </c>
      <c r="S696">
        <v>588</v>
      </c>
      <c r="T696">
        <v>0</v>
      </c>
      <c r="V696">
        <v>0</v>
      </c>
      <c r="W696">
        <v>1666</v>
      </c>
    </row>
    <row r="697" spans="1:23" x14ac:dyDescent="0.25">
      <c r="H697">
        <v>703</v>
      </c>
    </row>
    <row r="698" spans="1:23" x14ac:dyDescent="0.25">
      <c r="A698">
        <v>346</v>
      </c>
      <c r="B698">
        <v>2560</v>
      </c>
      <c r="C698" t="s">
        <v>1165</v>
      </c>
      <c r="D698" t="s">
        <v>273</v>
      </c>
      <c r="E698" t="s">
        <v>1166</v>
      </c>
      <c r="F698" t="s">
        <v>1167</v>
      </c>
      <c r="G698" t="str">
        <f>"00113745"</f>
        <v>00113745</v>
      </c>
      <c r="H698" t="s">
        <v>142</v>
      </c>
      <c r="I698">
        <v>0</v>
      </c>
      <c r="J698">
        <v>30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82</v>
      </c>
      <c r="S698">
        <v>574</v>
      </c>
      <c r="T698">
        <v>0</v>
      </c>
      <c r="V698">
        <v>0</v>
      </c>
      <c r="W698" t="s">
        <v>1168</v>
      </c>
    </row>
    <row r="699" spans="1:23" x14ac:dyDescent="0.25">
      <c r="H699">
        <v>703</v>
      </c>
    </row>
    <row r="700" spans="1:23" x14ac:dyDescent="0.25">
      <c r="A700">
        <v>347</v>
      </c>
      <c r="B700">
        <v>2372</v>
      </c>
      <c r="C700" t="s">
        <v>1169</v>
      </c>
      <c r="D700" t="s">
        <v>1170</v>
      </c>
      <c r="E700" t="s">
        <v>53</v>
      </c>
      <c r="F700" t="s">
        <v>1171</v>
      </c>
      <c r="G700" t="str">
        <f>"00146375"</f>
        <v>00146375</v>
      </c>
      <c r="H700" t="s">
        <v>385</v>
      </c>
      <c r="I700">
        <v>0</v>
      </c>
      <c r="J700">
        <v>30</v>
      </c>
      <c r="K700">
        <v>0</v>
      </c>
      <c r="L700">
        <v>30</v>
      </c>
      <c r="M700">
        <v>0</v>
      </c>
      <c r="N700">
        <v>0</v>
      </c>
      <c r="O700">
        <v>0</v>
      </c>
      <c r="P700">
        <v>0</v>
      </c>
      <c r="Q700">
        <v>0</v>
      </c>
      <c r="R700">
        <v>84</v>
      </c>
      <c r="S700">
        <v>588</v>
      </c>
      <c r="T700">
        <v>0</v>
      </c>
      <c r="V700">
        <v>0</v>
      </c>
      <c r="W700" t="s">
        <v>1168</v>
      </c>
    </row>
    <row r="701" spans="1:23" x14ac:dyDescent="0.25">
      <c r="H701" t="s">
        <v>70</v>
      </c>
    </row>
    <row r="702" spans="1:23" x14ac:dyDescent="0.25">
      <c r="A702">
        <v>348</v>
      </c>
      <c r="B702">
        <v>1535</v>
      </c>
      <c r="C702" t="s">
        <v>1172</v>
      </c>
      <c r="D702" t="s">
        <v>99</v>
      </c>
      <c r="E702" t="s">
        <v>113</v>
      </c>
      <c r="F702" t="s">
        <v>1173</v>
      </c>
      <c r="G702" t="str">
        <f>"201603000641"</f>
        <v>201603000641</v>
      </c>
      <c r="H702" t="s">
        <v>237</v>
      </c>
      <c r="I702">
        <v>0</v>
      </c>
      <c r="J702">
        <v>70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84</v>
      </c>
      <c r="S702">
        <v>588</v>
      </c>
      <c r="T702">
        <v>0</v>
      </c>
      <c r="V702">
        <v>2</v>
      </c>
      <c r="W702" t="s">
        <v>1174</v>
      </c>
    </row>
    <row r="703" spans="1:23" x14ac:dyDescent="0.25">
      <c r="H703">
        <v>703</v>
      </c>
    </row>
    <row r="704" spans="1:23" x14ac:dyDescent="0.25">
      <c r="A704">
        <v>349</v>
      </c>
      <c r="B704">
        <v>1824</v>
      </c>
      <c r="C704" t="s">
        <v>1175</v>
      </c>
      <c r="D704" t="s">
        <v>1176</v>
      </c>
      <c r="E704" t="s">
        <v>47</v>
      </c>
      <c r="F704" t="s">
        <v>1177</v>
      </c>
      <c r="G704" t="str">
        <f>"00225093"</f>
        <v>00225093</v>
      </c>
      <c r="H704" t="s">
        <v>1001</v>
      </c>
      <c r="I704">
        <v>150</v>
      </c>
      <c r="J704">
        <v>30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84</v>
      </c>
      <c r="S704">
        <v>588</v>
      </c>
      <c r="T704">
        <v>0</v>
      </c>
      <c r="V704">
        <v>0</v>
      </c>
      <c r="W704" t="s">
        <v>1174</v>
      </c>
    </row>
    <row r="705" spans="1:23" x14ac:dyDescent="0.25">
      <c r="H705">
        <v>703</v>
      </c>
    </row>
    <row r="706" spans="1:23" x14ac:dyDescent="0.25">
      <c r="A706">
        <v>350</v>
      </c>
      <c r="B706">
        <v>1752</v>
      </c>
      <c r="C706" t="s">
        <v>1178</v>
      </c>
      <c r="D706" t="s">
        <v>37</v>
      </c>
      <c r="E706" t="s">
        <v>79</v>
      </c>
      <c r="F706" t="s">
        <v>1179</v>
      </c>
      <c r="G706" t="str">
        <f>"200712002570"</f>
        <v>200712002570</v>
      </c>
      <c r="H706" t="s">
        <v>480</v>
      </c>
      <c r="I706">
        <v>150</v>
      </c>
      <c r="J706">
        <v>30</v>
      </c>
      <c r="K706">
        <v>50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62</v>
      </c>
      <c r="S706">
        <v>434</v>
      </c>
      <c r="T706">
        <v>0</v>
      </c>
      <c r="V706">
        <v>0</v>
      </c>
      <c r="W706" t="s">
        <v>1180</v>
      </c>
    </row>
    <row r="707" spans="1:23" x14ac:dyDescent="0.25">
      <c r="H707" t="s">
        <v>70</v>
      </c>
    </row>
    <row r="708" spans="1:23" x14ac:dyDescent="0.25">
      <c r="A708">
        <v>351</v>
      </c>
      <c r="B708">
        <v>892</v>
      </c>
      <c r="C708" t="s">
        <v>1181</v>
      </c>
      <c r="D708" t="s">
        <v>302</v>
      </c>
      <c r="E708" t="s">
        <v>109</v>
      </c>
      <c r="F708" t="s">
        <v>1182</v>
      </c>
      <c r="G708" t="str">
        <f>"200802002582"</f>
        <v>200802002582</v>
      </c>
      <c r="H708" t="s">
        <v>363</v>
      </c>
      <c r="I708">
        <v>0</v>
      </c>
      <c r="J708">
        <v>50</v>
      </c>
      <c r="K708">
        <v>30</v>
      </c>
      <c r="L708">
        <v>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84</v>
      </c>
      <c r="S708">
        <v>588</v>
      </c>
      <c r="T708">
        <v>0</v>
      </c>
      <c r="V708">
        <v>0</v>
      </c>
      <c r="W708" t="s">
        <v>1183</v>
      </c>
    </row>
    <row r="709" spans="1:23" x14ac:dyDescent="0.25">
      <c r="H709" t="s">
        <v>26</v>
      </c>
    </row>
    <row r="710" spans="1:23" x14ac:dyDescent="0.25">
      <c r="A710">
        <v>352</v>
      </c>
      <c r="B710">
        <v>3126</v>
      </c>
      <c r="C710" t="s">
        <v>907</v>
      </c>
      <c r="D710" t="s">
        <v>912</v>
      </c>
      <c r="E710" t="s">
        <v>53</v>
      </c>
      <c r="F710" t="s">
        <v>1184</v>
      </c>
      <c r="G710" t="str">
        <f>"201407000264"</f>
        <v>201407000264</v>
      </c>
      <c r="H710" t="s">
        <v>521</v>
      </c>
      <c r="I710">
        <v>150</v>
      </c>
      <c r="J710">
        <v>30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73</v>
      </c>
      <c r="S710">
        <v>511</v>
      </c>
      <c r="T710">
        <v>0</v>
      </c>
      <c r="V710">
        <v>0</v>
      </c>
      <c r="W710" t="s">
        <v>1185</v>
      </c>
    </row>
    <row r="711" spans="1:23" x14ac:dyDescent="0.25">
      <c r="H711">
        <v>703</v>
      </c>
    </row>
    <row r="712" spans="1:23" x14ac:dyDescent="0.25">
      <c r="A712">
        <v>353</v>
      </c>
      <c r="B712">
        <v>3082</v>
      </c>
      <c r="C712" t="s">
        <v>1186</v>
      </c>
      <c r="D712" t="s">
        <v>1187</v>
      </c>
      <c r="E712" t="s">
        <v>76</v>
      </c>
      <c r="F712" t="s">
        <v>1188</v>
      </c>
      <c r="G712" t="str">
        <f>"00087947"</f>
        <v>00087947</v>
      </c>
      <c r="H712" t="s">
        <v>1097</v>
      </c>
      <c r="I712">
        <v>0</v>
      </c>
      <c r="J712">
        <v>30</v>
      </c>
      <c r="K712">
        <v>0</v>
      </c>
      <c r="L712">
        <v>0</v>
      </c>
      <c r="M712">
        <v>30</v>
      </c>
      <c r="N712">
        <v>0</v>
      </c>
      <c r="O712">
        <v>0</v>
      </c>
      <c r="P712">
        <v>0</v>
      </c>
      <c r="Q712">
        <v>0</v>
      </c>
      <c r="R712">
        <v>84</v>
      </c>
      <c r="S712">
        <v>588</v>
      </c>
      <c r="T712">
        <v>0</v>
      </c>
      <c r="V712">
        <v>2</v>
      </c>
      <c r="W712" t="s">
        <v>1189</v>
      </c>
    </row>
    <row r="713" spans="1:23" x14ac:dyDescent="0.25">
      <c r="H713">
        <v>703</v>
      </c>
    </row>
    <row r="714" spans="1:23" x14ac:dyDescent="0.25">
      <c r="A714">
        <v>354</v>
      </c>
      <c r="B714">
        <v>2257</v>
      </c>
      <c r="C714" t="s">
        <v>45</v>
      </c>
      <c r="D714" t="s">
        <v>87</v>
      </c>
      <c r="E714" t="s">
        <v>356</v>
      </c>
      <c r="F714" t="s">
        <v>1190</v>
      </c>
      <c r="G714" t="str">
        <f>"201601001299"</f>
        <v>201601001299</v>
      </c>
      <c r="H714">
        <v>1023</v>
      </c>
      <c r="I714">
        <v>0</v>
      </c>
      <c r="J714">
        <v>0</v>
      </c>
      <c r="K714">
        <v>0</v>
      </c>
      <c r="L714">
        <v>50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84</v>
      </c>
      <c r="S714">
        <v>588</v>
      </c>
      <c r="T714">
        <v>0</v>
      </c>
      <c r="V714">
        <v>1</v>
      </c>
      <c r="W714">
        <v>1661</v>
      </c>
    </row>
    <row r="715" spans="1:23" x14ac:dyDescent="0.25">
      <c r="H715">
        <v>703</v>
      </c>
    </row>
    <row r="716" spans="1:23" x14ac:dyDescent="0.25">
      <c r="A716">
        <v>355</v>
      </c>
      <c r="B716">
        <v>498</v>
      </c>
      <c r="C716" t="s">
        <v>1191</v>
      </c>
      <c r="D716" t="s">
        <v>67</v>
      </c>
      <c r="E716" t="s">
        <v>424</v>
      </c>
      <c r="F716" t="s">
        <v>1192</v>
      </c>
      <c r="G716" t="str">
        <f>"00019017"</f>
        <v>00019017</v>
      </c>
      <c r="H716" t="s">
        <v>1193</v>
      </c>
      <c r="I716">
        <v>0</v>
      </c>
      <c r="J716">
        <v>30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0</v>
      </c>
      <c r="Q716">
        <v>0</v>
      </c>
      <c r="R716">
        <v>84</v>
      </c>
      <c r="S716">
        <v>588</v>
      </c>
      <c r="T716">
        <v>0</v>
      </c>
      <c r="V716">
        <v>0</v>
      </c>
      <c r="W716" t="s">
        <v>1194</v>
      </c>
    </row>
    <row r="717" spans="1:23" x14ac:dyDescent="0.25">
      <c r="H717">
        <v>703</v>
      </c>
    </row>
    <row r="718" spans="1:23" x14ac:dyDescent="0.25">
      <c r="A718">
        <v>356</v>
      </c>
      <c r="B718">
        <v>1777</v>
      </c>
      <c r="C718" t="s">
        <v>1195</v>
      </c>
      <c r="D718" t="s">
        <v>1196</v>
      </c>
      <c r="E718" t="s">
        <v>41</v>
      </c>
      <c r="F718" t="s">
        <v>1197</v>
      </c>
      <c r="G718" t="str">
        <f>"201109000057"</f>
        <v>201109000057</v>
      </c>
      <c r="H718" t="s">
        <v>1193</v>
      </c>
      <c r="I718">
        <v>0</v>
      </c>
      <c r="J718">
        <v>30</v>
      </c>
      <c r="K718">
        <v>0</v>
      </c>
      <c r="L718">
        <v>0</v>
      </c>
      <c r="M718">
        <v>0</v>
      </c>
      <c r="N718">
        <v>0</v>
      </c>
      <c r="O718">
        <v>0</v>
      </c>
      <c r="P718">
        <v>0</v>
      </c>
      <c r="Q718">
        <v>0</v>
      </c>
      <c r="R718">
        <v>84</v>
      </c>
      <c r="S718">
        <v>588</v>
      </c>
      <c r="T718">
        <v>0</v>
      </c>
      <c r="V718">
        <v>0</v>
      </c>
      <c r="W718" t="s">
        <v>1194</v>
      </c>
    </row>
    <row r="719" spans="1:23" x14ac:dyDescent="0.25">
      <c r="H719">
        <v>703</v>
      </c>
    </row>
    <row r="720" spans="1:23" x14ac:dyDescent="0.25">
      <c r="A720">
        <v>357</v>
      </c>
      <c r="B720">
        <v>121</v>
      </c>
      <c r="C720" t="s">
        <v>1198</v>
      </c>
      <c r="D720" t="s">
        <v>1199</v>
      </c>
      <c r="E720" t="s">
        <v>53</v>
      </c>
      <c r="F720" t="s">
        <v>1200</v>
      </c>
      <c r="G720" t="str">
        <f>"200712003675"</f>
        <v>200712003675</v>
      </c>
      <c r="H720" t="s">
        <v>902</v>
      </c>
      <c r="I720">
        <v>150</v>
      </c>
      <c r="J720">
        <v>30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84</v>
      </c>
      <c r="S720">
        <v>588</v>
      </c>
      <c r="T720">
        <v>0</v>
      </c>
      <c r="V720">
        <v>0</v>
      </c>
      <c r="W720" t="s">
        <v>1201</v>
      </c>
    </row>
    <row r="721" spans="1:23" x14ac:dyDescent="0.25">
      <c r="H721">
        <v>703</v>
      </c>
    </row>
    <row r="722" spans="1:23" x14ac:dyDescent="0.25">
      <c r="A722">
        <v>358</v>
      </c>
      <c r="B722">
        <v>2576</v>
      </c>
      <c r="C722" t="s">
        <v>1202</v>
      </c>
      <c r="D722" t="s">
        <v>1203</v>
      </c>
      <c r="E722" t="s">
        <v>53</v>
      </c>
      <c r="F722" t="s">
        <v>1204</v>
      </c>
      <c r="G722" t="str">
        <f>"00119768"</f>
        <v>00119768</v>
      </c>
      <c r="H722" t="s">
        <v>281</v>
      </c>
      <c r="I722">
        <v>0</v>
      </c>
      <c r="J722">
        <v>30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84</v>
      </c>
      <c r="S722">
        <v>588</v>
      </c>
      <c r="T722">
        <v>0</v>
      </c>
      <c r="V722">
        <v>2</v>
      </c>
      <c r="W722" t="s">
        <v>1205</v>
      </c>
    </row>
    <row r="723" spans="1:23" x14ac:dyDescent="0.25">
      <c r="H723" t="s">
        <v>26</v>
      </c>
    </row>
    <row r="724" spans="1:23" x14ac:dyDescent="0.25">
      <c r="A724">
        <v>359</v>
      </c>
      <c r="B724">
        <v>1546</v>
      </c>
      <c r="C724" t="s">
        <v>1206</v>
      </c>
      <c r="D724" t="s">
        <v>1207</v>
      </c>
      <c r="E724" t="s">
        <v>53</v>
      </c>
      <c r="F724" t="s">
        <v>1208</v>
      </c>
      <c r="G724" t="str">
        <f>"200712003255"</f>
        <v>200712003255</v>
      </c>
      <c r="H724" t="s">
        <v>281</v>
      </c>
      <c r="I724">
        <v>0</v>
      </c>
      <c r="J724">
        <v>30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84</v>
      </c>
      <c r="S724">
        <v>588</v>
      </c>
      <c r="T724">
        <v>0</v>
      </c>
      <c r="V724">
        <v>0</v>
      </c>
      <c r="W724" t="s">
        <v>1205</v>
      </c>
    </row>
    <row r="725" spans="1:23" x14ac:dyDescent="0.25">
      <c r="H725">
        <v>703</v>
      </c>
    </row>
    <row r="726" spans="1:23" x14ac:dyDescent="0.25">
      <c r="A726">
        <v>360</v>
      </c>
      <c r="B726">
        <v>1881</v>
      </c>
      <c r="C726" t="s">
        <v>1209</v>
      </c>
      <c r="D726" t="s">
        <v>1210</v>
      </c>
      <c r="E726" t="s">
        <v>105</v>
      </c>
      <c r="F726" t="s">
        <v>1211</v>
      </c>
      <c r="G726" t="str">
        <f>"201406011508"</f>
        <v>201406011508</v>
      </c>
      <c r="H726" t="s">
        <v>1212</v>
      </c>
      <c r="I726">
        <v>150</v>
      </c>
      <c r="J726">
        <v>70</v>
      </c>
      <c r="K726">
        <v>0</v>
      </c>
      <c r="L726">
        <v>0</v>
      </c>
      <c r="M726">
        <v>30</v>
      </c>
      <c r="N726">
        <v>0</v>
      </c>
      <c r="O726">
        <v>0</v>
      </c>
      <c r="P726">
        <v>0</v>
      </c>
      <c r="Q726">
        <v>0</v>
      </c>
      <c r="R726">
        <v>84</v>
      </c>
      <c r="S726">
        <v>588</v>
      </c>
      <c r="T726">
        <v>0</v>
      </c>
      <c r="V726">
        <v>0</v>
      </c>
      <c r="W726" t="s">
        <v>1205</v>
      </c>
    </row>
    <row r="727" spans="1:23" x14ac:dyDescent="0.25">
      <c r="H727" t="s">
        <v>26</v>
      </c>
    </row>
    <row r="728" spans="1:23" x14ac:dyDescent="0.25">
      <c r="A728">
        <v>361</v>
      </c>
      <c r="B728">
        <v>1929</v>
      </c>
      <c r="C728" t="s">
        <v>1213</v>
      </c>
      <c r="D728" t="s">
        <v>67</v>
      </c>
      <c r="E728" t="s">
        <v>109</v>
      </c>
      <c r="F728" t="s">
        <v>1214</v>
      </c>
      <c r="G728" t="str">
        <f>"200712001436"</f>
        <v>200712001436</v>
      </c>
      <c r="H728" t="s">
        <v>579</v>
      </c>
      <c r="I728">
        <v>0</v>
      </c>
      <c r="J728">
        <v>70</v>
      </c>
      <c r="K728">
        <v>0</v>
      </c>
      <c r="L728">
        <v>0</v>
      </c>
      <c r="M728">
        <v>50</v>
      </c>
      <c r="N728">
        <v>0</v>
      </c>
      <c r="O728">
        <v>0</v>
      </c>
      <c r="P728">
        <v>0</v>
      </c>
      <c r="Q728">
        <v>0</v>
      </c>
      <c r="R728">
        <v>84</v>
      </c>
      <c r="S728">
        <v>588</v>
      </c>
      <c r="T728">
        <v>0</v>
      </c>
      <c r="V728">
        <v>0</v>
      </c>
      <c r="W728" t="s">
        <v>1215</v>
      </c>
    </row>
    <row r="729" spans="1:23" x14ac:dyDescent="0.25">
      <c r="H729" t="s">
        <v>70</v>
      </c>
    </row>
    <row r="730" spans="1:23" x14ac:dyDescent="0.25">
      <c r="A730">
        <v>362</v>
      </c>
      <c r="B730">
        <v>2691</v>
      </c>
      <c r="C730" t="s">
        <v>1216</v>
      </c>
      <c r="D730" t="s">
        <v>325</v>
      </c>
      <c r="E730" t="s">
        <v>76</v>
      </c>
      <c r="F730" t="s">
        <v>1217</v>
      </c>
      <c r="G730" t="str">
        <f>"00230819"</f>
        <v>00230819</v>
      </c>
      <c r="H730" t="s">
        <v>1218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84</v>
      </c>
      <c r="S730">
        <v>588</v>
      </c>
      <c r="T730">
        <v>0</v>
      </c>
      <c r="V730">
        <v>2</v>
      </c>
      <c r="W730" t="s">
        <v>1219</v>
      </c>
    </row>
    <row r="731" spans="1:23" x14ac:dyDescent="0.25">
      <c r="H731">
        <v>703</v>
      </c>
    </row>
    <row r="732" spans="1:23" x14ac:dyDescent="0.25">
      <c r="A732">
        <v>363</v>
      </c>
      <c r="B732">
        <v>740</v>
      </c>
      <c r="C732" t="s">
        <v>1220</v>
      </c>
      <c r="D732" t="s">
        <v>273</v>
      </c>
      <c r="E732" t="s">
        <v>105</v>
      </c>
      <c r="F732" t="s">
        <v>1221</v>
      </c>
      <c r="G732" t="str">
        <f>"201406007614"</f>
        <v>201406007614</v>
      </c>
      <c r="H732" t="s">
        <v>1222</v>
      </c>
      <c r="I732">
        <v>150</v>
      </c>
      <c r="J732">
        <v>30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84</v>
      </c>
      <c r="S732">
        <v>588</v>
      </c>
      <c r="T732">
        <v>0</v>
      </c>
      <c r="V732">
        <v>0</v>
      </c>
      <c r="W732" t="s">
        <v>1223</v>
      </c>
    </row>
    <row r="733" spans="1:23" x14ac:dyDescent="0.25">
      <c r="H733">
        <v>703</v>
      </c>
    </row>
    <row r="734" spans="1:23" x14ac:dyDescent="0.25">
      <c r="A734">
        <v>364</v>
      </c>
      <c r="B734">
        <v>3071</v>
      </c>
      <c r="C734" t="s">
        <v>1224</v>
      </c>
      <c r="D734" t="s">
        <v>32</v>
      </c>
      <c r="E734" t="s">
        <v>76</v>
      </c>
      <c r="F734" t="s">
        <v>1225</v>
      </c>
      <c r="G734" t="str">
        <f>"00163396"</f>
        <v>00163396</v>
      </c>
      <c r="H734">
        <v>1067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0</v>
      </c>
      <c r="Q734">
        <v>0</v>
      </c>
      <c r="R734">
        <v>84</v>
      </c>
      <c r="S734">
        <v>588</v>
      </c>
      <c r="T734">
        <v>0</v>
      </c>
      <c r="V734">
        <v>0</v>
      </c>
      <c r="W734">
        <v>1655</v>
      </c>
    </row>
    <row r="735" spans="1:23" x14ac:dyDescent="0.25">
      <c r="H735">
        <v>703</v>
      </c>
    </row>
    <row r="736" spans="1:23" x14ac:dyDescent="0.25">
      <c r="A736">
        <v>365</v>
      </c>
      <c r="B736">
        <v>1179</v>
      </c>
      <c r="C736" t="s">
        <v>1226</v>
      </c>
      <c r="D736" t="s">
        <v>285</v>
      </c>
      <c r="E736" t="s">
        <v>53</v>
      </c>
      <c r="F736" t="s">
        <v>1227</v>
      </c>
      <c r="G736" t="str">
        <f>"00230270"</f>
        <v>00230270</v>
      </c>
      <c r="H736" t="s">
        <v>1228</v>
      </c>
      <c r="I736">
        <v>150</v>
      </c>
      <c r="J736">
        <v>70</v>
      </c>
      <c r="K736">
        <v>30</v>
      </c>
      <c r="L736">
        <v>0</v>
      </c>
      <c r="M736">
        <v>30</v>
      </c>
      <c r="N736">
        <v>0</v>
      </c>
      <c r="O736">
        <v>0</v>
      </c>
      <c r="P736">
        <v>0</v>
      </c>
      <c r="Q736">
        <v>0</v>
      </c>
      <c r="R736">
        <v>84</v>
      </c>
      <c r="S736">
        <v>588</v>
      </c>
      <c r="T736">
        <v>0</v>
      </c>
      <c r="V736">
        <v>0</v>
      </c>
      <c r="W736" t="s">
        <v>1229</v>
      </c>
    </row>
    <row r="737" spans="1:23" x14ac:dyDescent="0.25">
      <c r="H737" t="s">
        <v>26</v>
      </c>
    </row>
    <row r="738" spans="1:23" x14ac:dyDescent="0.25">
      <c r="A738">
        <v>366</v>
      </c>
      <c r="B738">
        <v>33</v>
      </c>
      <c r="C738" t="s">
        <v>1230</v>
      </c>
      <c r="D738" t="s">
        <v>325</v>
      </c>
      <c r="E738" t="s">
        <v>109</v>
      </c>
      <c r="F738" t="s">
        <v>1231</v>
      </c>
      <c r="G738" t="str">
        <f>"200712003239"</f>
        <v>200712003239</v>
      </c>
      <c r="H738" t="s">
        <v>358</v>
      </c>
      <c r="I738">
        <v>0</v>
      </c>
      <c r="J738">
        <v>70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84</v>
      </c>
      <c r="S738">
        <v>588</v>
      </c>
      <c r="T738">
        <v>0</v>
      </c>
      <c r="V738">
        <v>0</v>
      </c>
      <c r="W738" t="s">
        <v>1232</v>
      </c>
    </row>
    <row r="739" spans="1:23" x14ac:dyDescent="0.25">
      <c r="H739">
        <v>703</v>
      </c>
    </row>
    <row r="740" spans="1:23" x14ac:dyDescent="0.25">
      <c r="A740">
        <v>367</v>
      </c>
      <c r="B740">
        <v>1344</v>
      </c>
      <c r="C740" t="s">
        <v>1233</v>
      </c>
      <c r="D740" t="s">
        <v>273</v>
      </c>
      <c r="E740" t="s">
        <v>113</v>
      </c>
      <c r="F740" t="s">
        <v>1234</v>
      </c>
      <c r="G740" t="str">
        <f>"00193114"</f>
        <v>00193114</v>
      </c>
      <c r="H740" t="s">
        <v>358</v>
      </c>
      <c r="I740">
        <v>0</v>
      </c>
      <c r="J740">
        <v>70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84</v>
      </c>
      <c r="S740">
        <v>588</v>
      </c>
      <c r="T740">
        <v>0</v>
      </c>
      <c r="V740">
        <v>0</v>
      </c>
      <c r="W740" t="s">
        <v>1232</v>
      </c>
    </row>
    <row r="741" spans="1:23" x14ac:dyDescent="0.25">
      <c r="H741">
        <v>703</v>
      </c>
    </row>
    <row r="742" spans="1:23" x14ac:dyDescent="0.25">
      <c r="A742">
        <v>368</v>
      </c>
      <c r="B742">
        <v>482</v>
      </c>
      <c r="C742" t="s">
        <v>1235</v>
      </c>
      <c r="D742" t="s">
        <v>273</v>
      </c>
      <c r="E742" t="s">
        <v>1236</v>
      </c>
      <c r="F742" t="s">
        <v>1237</v>
      </c>
      <c r="G742" t="str">
        <f>"00225769"</f>
        <v>00225769</v>
      </c>
      <c r="H742" t="s">
        <v>1238</v>
      </c>
      <c r="I742">
        <v>150</v>
      </c>
      <c r="J742">
        <v>30</v>
      </c>
      <c r="K742">
        <v>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84</v>
      </c>
      <c r="S742">
        <v>588</v>
      </c>
      <c r="T742">
        <v>0</v>
      </c>
      <c r="V742">
        <v>0</v>
      </c>
      <c r="W742" t="s">
        <v>1232</v>
      </c>
    </row>
    <row r="743" spans="1:23" x14ac:dyDescent="0.25">
      <c r="H743">
        <v>703</v>
      </c>
    </row>
    <row r="744" spans="1:23" x14ac:dyDescent="0.25">
      <c r="A744">
        <v>369</v>
      </c>
      <c r="B744">
        <v>878</v>
      </c>
      <c r="C744" t="s">
        <v>1239</v>
      </c>
      <c r="D744" t="s">
        <v>105</v>
      </c>
      <c r="E744" t="s">
        <v>53</v>
      </c>
      <c r="F744" t="s">
        <v>1240</v>
      </c>
      <c r="G744" t="str">
        <f>"200911000119"</f>
        <v>200911000119</v>
      </c>
      <c r="H744" t="s">
        <v>1241</v>
      </c>
      <c r="I744">
        <v>150</v>
      </c>
      <c r="J744">
        <v>30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84</v>
      </c>
      <c r="S744">
        <v>588</v>
      </c>
      <c r="T744">
        <v>0</v>
      </c>
      <c r="V744">
        <v>0</v>
      </c>
      <c r="W744" t="s">
        <v>1242</v>
      </c>
    </row>
    <row r="745" spans="1:23" x14ac:dyDescent="0.25">
      <c r="H745" t="s">
        <v>26</v>
      </c>
    </row>
    <row r="746" spans="1:23" x14ac:dyDescent="0.25">
      <c r="A746">
        <v>370</v>
      </c>
      <c r="B746">
        <v>3003</v>
      </c>
      <c r="C746" t="s">
        <v>1243</v>
      </c>
      <c r="D746" t="s">
        <v>1244</v>
      </c>
      <c r="E746" t="s">
        <v>884</v>
      </c>
      <c r="F746" t="s">
        <v>1245</v>
      </c>
      <c r="G746" t="str">
        <f>"200810000123"</f>
        <v>200810000123</v>
      </c>
      <c r="H746" t="s">
        <v>1241</v>
      </c>
      <c r="I746">
        <v>150</v>
      </c>
      <c r="J746">
        <v>30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84</v>
      </c>
      <c r="S746">
        <v>588</v>
      </c>
      <c r="T746">
        <v>0</v>
      </c>
      <c r="V746">
        <v>0</v>
      </c>
      <c r="W746" t="s">
        <v>1242</v>
      </c>
    </row>
    <row r="747" spans="1:23" x14ac:dyDescent="0.25">
      <c r="H747" t="s">
        <v>26</v>
      </c>
    </row>
    <row r="748" spans="1:23" x14ac:dyDescent="0.25">
      <c r="A748">
        <v>371</v>
      </c>
      <c r="B748">
        <v>3068</v>
      </c>
      <c r="C748" t="s">
        <v>1246</v>
      </c>
      <c r="D748" t="s">
        <v>478</v>
      </c>
      <c r="E748" t="s">
        <v>76</v>
      </c>
      <c r="F748" t="s">
        <v>1247</v>
      </c>
      <c r="G748" t="str">
        <f>"00111813"</f>
        <v>00111813</v>
      </c>
      <c r="H748">
        <v>1034</v>
      </c>
      <c r="I748">
        <v>0</v>
      </c>
      <c r="J748">
        <v>30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84</v>
      </c>
      <c r="S748">
        <v>588</v>
      </c>
      <c r="T748">
        <v>0</v>
      </c>
      <c r="V748">
        <v>0</v>
      </c>
      <c r="W748">
        <v>1652</v>
      </c>
    </row>
    <row r="749" spans="1:23" x14ac:dyDescent="0.25">
      <c r="H749">
        <v>703</v>
      </c>
    </row>
    <row r="750" spans="1:23" x14ac:dyDescent="0.25">
      <c r="A750">
        <v>372</v>
      </c>
      <c r="B750">
        <v>1938</v>
      </c>
      <c r="C750" t="s">
        <v>1248</v>
      </c>
      <c r="D750" t="s">
        <v>273</v>
      </c>
      <c r="E750" t="s">
        <v>58</v>
      </c>
      <c r="F750" t="s">
        <v>1249</v>
      </c>
      <c r="G750" t="str">
        <f>"00182392"</f>
        <v>00182392</v>
      </c>
      <c r="H750">
        <v>1034</v>
      </c>
      <c r="I750">
        <v>0</v>
      </c>
      <c r="J750">
        <v>30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0</v>
      </c>
      <c r="R750">
        <v>84</v>
      </c>
      <c r="S750">
        <v>588</v>
      </c>
      <c r="T750">
        <v>0</v>
      </c>
      <c r="V750">
        <v>1</v>
      </c>
      <c r="W750">
        <v>1652</v>
      </c>
    </row>
    <row r="751" spans="1:23" x14ac:dyDescent="0.25">
      <c r="H751">
        <v>703</v>
      </c>
    </row>
    <row r="752" spans="1:23" x14ac:dyDescent="0.25">
      <c r="A752">
        <v>373</v>
      </c>
      <c r="B752">
        <v>1743</v>
      </c>
      <c r="C752" t="s">
        <v>1250</v>
      </c>
      <c r="D752" t="s">
        <v>1251</v>
      </c>
      <c r="E752" t="s">
        <v>424</v>
      </c>
      <c r="F752" t="s">
        <v>1252</v>
      </c>
      <c r="G752" t="str">
        <f>"00224646"</f>
        <v>00224646</v>
      </c>
      <c r="H752" t="s">
        <v>174</v>
      </c>
      <c r="I752">
        <v>150</v>
      </c>
      <c r="J752">
        <v>70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53</v>
      </c>
      <c r="S752">
        <v>371</v>
      </c>
      <c r="T752">
        <v>0</v>
      </c>
      <c r="V752">
        <v>0</v>
      </c>
      <c r="W752" t="s">
        <v>1253</v>
      </c>
    </row>
    <row r="753" spans="1:23" x14ac:dyDescent="0.25">
      <c r="H753">
        <v>703</v>
      </c>
    </row>
    <row r="754" spans="1:23" x14ac:dyDescent="0.25">
      <c r="A754">
        <v>374</v>
      </c>
      <c r="B754">
        <v>974</v>
      </c>
      <c r="C754" t="s">
        <v>1254</v>
      </c>
      <c r="D754" t="s">
        <v>1255</v>
      </c>
      <c r="E754" t="s">
        <v>33</v>
      </c>
      <c r="F754" t="s">
        <v>1256</v>
      </c>
      <c r="G754" t="str">
        <f>"201405000867"</f>
        <v>201405000867</v>
      </c>
      <c r="H754" t="s">
        <v>1257</v>
      </c>
      <c r="I754">
        <v>0</v>
      </c>
      <c r="J754">
        <v>30</v>
      </c>
      <c r="K754">
        <v>0</v>
      </c>
      <c r="L754">
        <v>0</v>
      </c>
      <c r="M754">
        <v>50</v>
      </c>
      <c r="N754">
        <v>0</v>
      </c>
      <c r="O754">
        <v>0</v>
      </c>
      <c r="P754">
        <v>0</v>
      </c>
      <c r="Q754">
        <v>0</v>
      </c>
      <c r="R754">
        <v>84</v>
      </c>
      <c r="S754">
        <v>588</v>
      </c>
      <c r="T754">
        <v>0</v>
      </c>
      <c r="V754">
        <v>0</v>
      </c>
      <c r="W754" t="s">
        <v>1253</v>
      </c>
    </row>
    <row r="755" spans="1:23" x14ac:dyDescent="0.25">
      <c r="H755" t="s">
        <v>70</v>
      </c>
    </row>
    <row r="756" spans="1:23" x14ac:dyDescent="0.25">
      <c r="A756">
        <v>375</v>
      </c>
      <c r="B756">
        <v>1907</v>
      </c>
      <c r="C756" t="s">
        <v>1258</v>
      </c>
      <c r="D756" t="s">
        <v>1259</v>
      </c>
      <c r="E756" t="s">
        <v>523</v>
      </c>
      <c r="F756" t="s">
        <v>1260</v>
      </c>
      <c r="G756" t="str">
        <f>"00230872"</f>
        <v>00230872</v>
      </c>
      <c r="H756">
        <v>913</v>
      </c>
      <c r="I756">
        <v>150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84</v>
      </c>
      <c r="S756">
        <v>588</v>
      </c>
      <c r="T756">
        <v>0</v>
      </c>
      <c r="V756">
        <v>0</v>
      </c>
      <c r="W756">
        <v>1651</v>
      </c>
    </row>
    <row r="757" spans="1:23" x14ac:dyDescent="0.25">
      <c r="H757">
        <v>703</v>
      </c>
    </row>
    <row r="758" spans="1:23" x14ac:dyDescent="0.25">
      <c r="A758">
        <v>376</v>
      </c>
      <c r="B758">
        <v>3002</v>
      </c>
      <c r="C758" t="s">
        <v>1261</v>
      </c>
      <c r="D758" t="s">
        <v>91</v>
      </c>
      <c r="E758" t="s">
        <v>41</v>
      </c>
      <c r="F758" t="s">
        <v>1262</v>
      </c>
      <c r="G758" t="str">
        <f>"200901000993"</f>
        <v>200901000993</v>
      </c>
      <c r="H758" t="s">
        <v>101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84</v>
      </c>
      <c r="S758">
        <v>588</v>
      </c>
      <c r="T758">
        <v>0</v>
      </c>
      <c r="V758">
        <v>0</v>
      </c>
      <c r="W758" t="s">
        <v>1263</v>
      </c>
    </row>
    <row r="759" spans="1:23" x14ac:dyDescent="0.25">
      <c r="H759">
        <v>703</v>
      </c>
    </row>
    <row r="760" spans="1:23" x14ac:dyDescent="0.25">
      <c r="A760">
        <v>377</v>
      </c>
      <c r="B760">
        <v>724</v>
      </c>
      <c r="C760" t="s">
        <v>1264</v>
      </c>
      <c r="D760" t="s">
        <v>279</v>
      </c>
      <c r="E760" t="s">
        <v>15</v>
      </c>
      <c r="F760" t="s">
        <v>1265</v>
      </c>
      <c r="G760" t="str">
        <f>"00016096"</f>
        <v>00016096</v>
      </c>
      <c r="H760" t="s">
        <v>465</v>
      </c>
      <c r="I760">
        <v>0</v>
      </c>
      <c r="J760">
        <v>30</v>
      </c>
      <c r="K760">
        <v>70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84</v>
      </c>
      <c r="S760">
        <v>588</v>
      </c>
      <c r="T760">
        <v>0</v>
      </c>
      <c r="V760">
        <v>0</v>
      </c>
      <c r="W760" t="s">
        <v>1266</v>
      </c>
    </row>
    <row r="761" spans="1:23" x14ac:dyDescent="0.25">
      <c r="H761" t="s">
        <v>70</v>
      </c>
    </row>
    <row r="762" spans="1:23" x14ac:dyDescent="0.25">
      <c r="A762">
        <v>378</v>
      </c>
      <c r="B762">
        <v>199</v>
      </c>
      <c r="C762" t="s">
        <v>1267</v>
      </c>
      <c r="D762" t="s">
        <v>955</v>
      </c>
      <c r="E762" t="s">
        <v>76</v>
      </c>
      <c r="F762" t="s">
        <v>1268</v>
      </c>
      <c r="G762" t="str">
        <f>"201511010818"</f>
        <v>201511010818</v>
      </c>
      <c r="H762" t="s">
        <v>142</v>
      </c>
      <c r="I762">
        <v>0</v>
      </c>
      <c r="J762">
        <v>0</v>
      </c>
      <c r="K762">
        <v>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84</v>
      </c>
      <c r="S762">
        <v>588</v>
      </c>
      <c r="T762">
        <v>0</v>
      </c>
      <c r="V762">
        <v>2</v>
      </c>
      <c r="W762" t="s">
        <v>1269</v>
      </c>
    </row>
    <row r="763" spans="1:23" x14ac:dyDescent="0.25">
      <c r="H763" t="s">
        <v>26</v>
      </c>
    </row>
    <row r="764" spans="1:23" x14ac:dyDescent="0.25">
      <c r="A764">
        <v>379</v>
      </c>
      <c r="B764">
        <v>2518</v>
      </c>
      <c r="C764" t="s">
        <v>1270</v>
      </c>
      <c r="D764" t="s">
        <v>302</v>
      </c>
      <c r="E764" t="s">
        <v>24</v>
      </c>
      <c r="F764" t="s">
        <v>1271</v>
      </c>
      <c r="G764" t="str">
        <f>"200712002555"</f>
        <v>200712002555</v>
      </c>
      <c r="H764">
        <v>1001</v>
      </c>
      <c r="I764">
        <v>0</v>
      </c>
      <c r="J764">
        <v>30</v>
      </c>
      <c r="K764">
        <v>30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84</v>
      </c>
      <c r="S764">
        <v>588</v>
      </c>
      <c r="T764">
        <v>0</v>
      </c>
      <c r="V764">
        <v>0</v>
      </c>
      <c r="W764">
        <v>1649</v>
      </c>
    </row>
    <row r="765" spans="1:23" x14ac:dyDescent="0.25">
      <c r="H765" t="s">
        <v>26</v>
      </c>
    </row>
    <row r="766" spans="1:23" x14ac:dyDescent="0.25">
      <c r="A766">
        <v>380</v>
      </c>
      <c r="B766">
        <v>2712</v>
      </c>
      <c r="C766" t="s">
        <v>1272</v>
      </c>
      <c r="D766" t="s">
        <v>361</v>
      </c>
      <c r="E766" t="s">
        <v>1273</v>
      </c>
      <c r="F766" t="s">
        <v>1274</v>
      </c>
      <c r="G766" t="str">
        <f>"200802009549"</f>
        <v>200802009549</v>
      </c>
      <c r="H766" t="s">
        <v>1275</v>
      </c>
      <c r="I766">
        <v>150</v>
      </c>
      <c r="J766">
        <v>30</v>
      </c>
      <c r="K766">
        <v>0</v>
      </c>
      <c r="L766">
        <v>30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84</v>
      </c>
      <c r="S766">
        <v>588</v>
      </c>
      <c r="T766">
        <v>0</v>
      </c>
      <c r="V766">
        <v>0</v>
      </c>
      <c r="W766" t="s">
        <v>1276</v>
      </c>
    </row>
    <row r="767" spans="1:23" x14ac:dyDescent="0.25">
      <c r="H767" t="s">
        <v>26</v>
      </c>
    </row>
    <row r="768" spans="1:23" x14ac:dyDescent="0.25">
      <c r="A768">
        <v>381</v>
      </c>
      <c r="B768">
        <v>3141</v>
      </c>
      <c r="C768" t="s">
        <v>1277</v>
      </c>
      <c r="D768" t="s">
        <v>46</v>
      </c>
      <c r="E768" t="s">
        <v>113</v>
      </c>
      <c r="F768" t="s">
        <v>1278</v>
      </c>
      <c r="G768" t="str">
        <f>"201304006400"</f>
        <v>201304006400</v>
      </c>
      <c r="H768">
        <v>990</v>
      </c>
      <c r="I768">
        <v>0</v>
      </c>
      <c r="J768">
        <v>70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84</v>
      </c>
      <c r="S768">
        <v>588</v>
      </c>
      <c r="T768">
        <v>0</v>
      </c>
      <c r="V768">
        <v>1</v>
      </c>
      <c r="W768">
        <v>1648</v>
      </c>
    </row>
    <row r="769" spans="1:23" x14ac:dyDescent="0.25">
      <c r="H769">
        <v>703</v>
      </c>
    </row>
    <row r="770" spans="1:23" x14ac:dyDescent="0.25">
      <c r="A770">
        <v>382</v>
      </c>
      <c r="B770">
        <v>2814</v>
      </c>
      <c r="C770" t="s">
        <v>1279</v>
      </c>
      <c r="D770" t="s">
        <v>67</v>
      </c>
      <c r="E770" t="s">
        <v>1199</v>
      </c>
      <c r="F770" t="s">
        <v>1280</v>
      </c>
      <c r="G770" t="str">
        <f>"00230251"</f>
        <v>00230251</v>
      </c>
      <c r="H770">
        <v>880</v>
      </c>
      <c r="I770">
        <v>150</v>
      </c>
      <c r="J770">
        <v>30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84</v>
      </c>
      <c r="S770">
        <v>588</v>
      </c>
      <c r="T770">
        <v>0</v>
      </c>
      <c r="V770">
        <v>0</v>
      </c>
      <c r="W770">
        <v>1648</v>
      </c>
    </row>
    <row r="771" spans="1:23" x14ac:dyDescent="0.25">
      <c r="H771">
        <v>703</v>
      </c>
    </row>
    <row r="772" spans="1:23" x14ac:dyDescent="0.25">
      <c r="A772">
        <v>383</v>
      </c>
      <c r="B772">
        <v>606</v>
      </c>
      <c r="C772" t="s">
        <v>1281</v>
      </c>
      <c r="D772" t="s">
        <v>1282</v>
      </c>
      <c r="E772" t="s">
        <v>156</v>
      </c>
      <c r="F772" t="s">
        <v>1283</v>
      </c>
      <c r="G772" t="str">
        <f>"00224638"</f>
        <v>00224638</v>
      </c>
      <c r="H772">
        <v>880</v>
      </c>
      <c r="I772">
        <v>150</v>
      </c>
      <c r="J772">
        <v>30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84</v>
      </c>
      <c r="S772">
        <v>588</v>
      </c>
      <c r="T772">
        <v>0</v>
      </c>
      <c r="V772">
        <v>0</v>
      </c>
      <c r="W772">
        <v>1648</v>
      </c>
    </row>
    <row r="773" spans="1:23" x14ac:dyDescent="0.25">
      <c r="H773">
        <v>703</v>
      </c>
    </row>
    <row r="774" spans="1:23" x14ac:dyDescent="0.25">
      <c r="A774">
        <v>384</v>
      </c>
      <c r="B774">
        <v>124</v>
      </c>
      <c r="C774" t="s">
        <v>1284</v>
      </c>
      <c r="D774" t="s">
        <v>1285</v>
      </c>
      <c r="E774" t="s">
        <v>523</v>
      </c>
      <c r="F774" t="s">
        <v>1286</v>
      </c>
      <c r="G774" t="str">
        <f>"201507004871"</f>
        <v>201507004871</v>
      </c>
      <c r="H774">
        <v>880</v>
      </c>
      <c r="I774">
        <v>150</v>
      </c>
      <c r="J774">
        <v>30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84</v>
      </c>
      <c r="S774">
        <v>588</v>
      </c>
      <c r="T774">
        <v>0</v>
      </c>
      <c r="V774">
        <v>0</v>
      </c>
      <c r="W774">
        <v>1648</v>
      </c>
    </row>
    <row r="775" spans="1:23" x14ac:dyDescent="0.25">
      <c r="H775">
        <v>703</v>
      </c>
    </row>
    <row r="776" spans="1:23" x14ac:dyDescent="0.25">
      <c r="A776">
        <v>385</v>
      </c>
      <c r="B776">
        <v>1851</v>
      </c>
      <c r="C776" t="s">
        <v>1287</v>
      </c>
      <c r="D776" t="s">
        <v>58</v>
      </c>
      <c r="E776" t="s">
        <v>21</v>
      </c>
      <c r="F776" t="s">
        <v>1288</v>
      </c>
      <c r="G776" t="str">
        <f>"200809000566"</f>
        <v>200809000566</v>
      </c>
      <c r="H776">
        <v>880</v>
      </c>
      <c r="I776">
        <v>150</v>
      </c>
      <c r="J776">
        <v>30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84</v>
      </c>
      <c r="S776">
        <v>588</v>
      </c>
      <c r="T776">
        <v>0</v>
      </c>
      <c r="V776">
        <v>0</v>
      </c>
      <c r="W776">
        <v>1648</v>
      </c>
    </row>
    <row r="777" spans="1:23" x14ac:dyDescent="0.25">
      <c r="H777">
        <v>703</v>
      </c>
    </row>
    <row r="778" spans="1:23" x14ac:dyDescent="0.25">
      <c r="A778">
        <v>386</v>
      </c>
      <c r="B778">
        <v>2831</v>
      </c>
      <c r="C778" t="s">
        <v>1289</v>
      </c>
      <c r="D778" t="s">
        <v>344</v>
      </c>
      <c r="E778" t="s">
        <v>99</v>
      </c>
      <c r="F778" t="s">
        <v>1290</v>
      </c>
      <c r="G778" t="str">
        <f>"200907000106"</f>
        <v>200907000106</v>
      </c>
      <c r="H778">
        <v>880</v>
      </c>
      <c r="I778">
        <v>150</v>
      </c>
      <c r="J778">
        <v>30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84</v>
      </c>
      <c r="S778">
        <v>588</v>
      </c>
      <c r="T778">
        <v>0</v>
      </c>
      <c r="V778">
        <v>0</v>
      </c>
      <c r="W778">
        <v>1648</v>
      </c>
    </row>
    <row r="779" spans="1:23" x14ac:dyDescent="0.25">
      <c r="H779">
        <v>703</v>
      </c>
    </row>
    <row r="780" spans="1:23" x14ac:dyDescent="0.25">
      <c r="A780">
        <v>387</v>
      </c>
      <c r="B780">
        <v>1910</v>
      </c>
      <c r="C780" t="s">
        <v>1291</v>
      </c>
      <c r="D780" t="s">
        <v>166</v>
      </c>
      <c r="E780" t="s">
        <v>372</v>
      </c>
      <c r="F780" t="s">
        <v>1292</v>
      </c>
      <c r="G780" t="str">
        <f>"200802000416"</f>
        <v>200802000416</v>
      </c>
      <c r="H780" t="s">
        <v>958</v>
      </c>
      <c r="I780">
        <v>0</v>
      </c>
      <c r="J780">
        <v>30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84</v>
      </c>
      <c r="S780">
        <v>588</v>
      </c>
      <c r="T780">
        <v>0</v>
      </c>
      <c r="V780">
        <v>0</v>
      </c>
      <c r="W780" t="s">
        <v>1293</v>
      </c>
    </row>
    <row r="781" spans="1:23" x14ac:dyDescent="0.25">
      <c r="H781" t="s">
        <v>26</v>
      </c>
    </row>
    <row r="782" spans="1:23" x14ac:dyDescent="0.25">
      <c r="A782">
        <v>388</v>
      </c>
      <c r="B782">
        <v>3106</v>
      </c>
      <c r="C782" t="s">
        <v>1294</v>
      </c>
      <c r="D782" t="s">
        <v>140</v>
      </c>
      <c r="E782" t="s">
        <v>21</v>
      </c>
      <c r="F782" t="s">
        <v>1295</v>
      </c>
      <c r="G782" t="str">
        <f>"200811001784"</f>
        <v>200811001784</v>
      </c>
      <c r="H782" t="s">
        <v>833</v>
      </c>
      <c r="I782">
        <v>0</v>
      </c>
      <c r="J782">
        <v>70</v>
      </c>
      <c r="K782">
        <v>0</v>
      </c>
      <c r="L782">
        <v>50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84</v>
      </c>
      <c r="S782">
        <v>588</v>
      </c>
      <c r="T782">
        <v>0</v>
      </c>
      <c r="V782">
        <v>2</v>
      </c>
      <c r="W782" t="s">
        <v>1296</v>
      </c>
    </row>
    <row r="783" spans="1:23" x14ac:dyDescent="0.25">
      <c r="H783" t="s">
        <v>70</v>
      </c>
    </row>
    <row r="784" spans="1:23" x14ac:dyDescent="0.25">
      <c r="A784">
        <v>389</v>
      </c>
      <c r="B784">
        <v>3036</v>
      </c>
      <c r="C784" t="s">
        <v>1297</v>
      </c>
      <c r="D784" t="s">
        <v>1298</v>
      </c>
      <c r="E784" t="s">
        <v>424</v>
      </c>
      <c r="F784" t="s">
        <v>1299</v>
      </c>
      <c r="G784" t="str">
        <f>"00186927"</f>
        <v>00186927</v>
      </c>
      <c r="H784" t="s">
        <v>583</v>
      </c>
      <c r="I784">
        <v>0</v>
      </c>
      <c r="J784">
        <v>70</v>
      </c>
      <c r="K784">
        <v>0</v>
      </c>
      <c r="L784">
        <v>30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84</v>
      </c>
      <c r="S784">
        <v>588</v>
      </c>
      <c r="T784">
        <v>0</v>
      </c>
      <c r="V784">
        <v>0</v>
      </c>
      <c r="W784" t="s">
        <v>1300</v>
      </c>
    </row>
    <row r="785" spans="1:23" x14ac:dyDescent="0.25">
      <c r="H785" t="s">
        <v>70</v>
      </c>
    </row>
    <row r="786" spans="1:23" x14ac:dyDescent="0.25">
      <c r="A786">
        <v>390</v>
      </c>
      <c r="B786">
        <v>226</v>
      </c>
      <c r="C786" t="s">
        <v>1301</v>
      </c>
      <c r="D786" t="s">
        <v>140</v>
      </c>
      <c r="E786" t="s">
        <v>53</v>
      </c>
      <c r="F786" t="s">
        <v>1302</v>
      </c>
      <c r="G786" t="str">
        <f>"201409005004"</f>
        <v>201409005004</v>
      </c>
      <c r="H786">
        <v>1034</v>
      </c>
      <c r="I786">
        <v>0</v>
      </c>
      <c r="J786">
        <v>30</v>
      </c>
      <c r="K786">
        <v>0</v>
      </c>
      <c r="L786">
        <v>0</v>
      </c>
      <c r="M786">
        <v>30</v>
      </c>
      <c r="N786">
        <v>0</v>
      </c>
      <c r="O786">
        <v>0</v>
      </c>
      <c r="P786">
        <v>0</v>
      </c>
      <c r="Q786">
        <v>0</v>
      </c>
      <c r="R786">
        <v>79</v>
      </c>
      <c r="S786">
        <v>553</v>
      </c>
      <c r="T786">
        <v>0</v>
      </c>
      <c r="V786">
        <v>0</v>
      </c>
      <c r="W786">
        <v>1647</v>
      </c>
    </row>
    <row r="787" spans="1:23" x14ac:dyDescent="0.25">
      <c r="H787" t="s">
        <v>26</v>
      </c>
    </row>
    <row r="788" spans="1:23" x14ac:dyDescent="0.25">
      <c r="A788">
        <v>391</v>
      </c>
      <c r="B788">
        <v>2891</v>
      </c>
      <c r="C788" t="s">
        <v>1303</v>
      </c>
      <c r="D788" t="s">
        <v>87</v>
      </c>
      <c r="E788" t="s">
        <v>15</v>
      </c>
      <c r="F788" t="s">
        <v>1304</v>
      </c>
      <c r="G788" t="str">
        <f>"00224375"</f>
        <v>00224375</v>
      </c>
      <c r="H788">
        <v>979</v>
      </c>
      <c r="I788">
        <v>0</v>
      </c>
      <c r="J788">
        <v>50</v>
      </c>
      <c r="K788">
        <v>30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84</v>
      </c>
      <c r="S788">
        <v>588</v>
      </c>
      <c r="T788">
        <v>0</v>
      </c>
      <c r="V788">
        <v>0</v>
      </c>
      <c r="W788">
        <v>1647</v>
      </c>
    </row>
    <row r="789" spans="1:23" x14ac:dyDescent="0.25">
      <c r="H789">
        <v>703</v>
      </c>
    </row>
    <row r="790" spans="1:23" x14ac:dyDescent="0.25">
      <c r="A790">
        <v>392</v>
      </c>
      <c r="B790">
        <v>393</v>
      </c>
      <c r="C790" t="s">
        <v>1305</v>
      </c>
      <c r="D790" t="s">
        <v>350</v>
      </c>
      <c r="E790" t="s">
        <v>478</v>
      </c>
      <c r="F790" t="s">
        <v>1306</v>
      </c>
      <c r="G790" t="str">
        <f>"200806000809"</f>
        <v>200806000809</v>
      </c>
      <c r="H790" t="s">
        <v>187</v>
      </c>
      <c r="I790">
        <v>0</v>
      </c>
      <c r="J790">
        <v>30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84</v>
      </c>
      <c r="S790">
        <v>588</v>
      </c>
      <c r="T790">
        <v>0</v>
      </c>
      <c r="V790">
        <v>0</v>
      </c>
      <c r="W790" t="s">
        <v>1307</v>
      </c>
    </row>
    <row r="791" spans="1:23" x14ac:dyDescent="0.25">
      <c r="H791" t="s">
        <v>70</v>
      </c>
    </row>
    <row r="792" spans="1:23" x14ac:dyDescent="0.25">
      <c r="A792">
        <v>393</v>
      </c>
      <c r="B792">
        <v>2050</v>
      </c>
      <c r="C792" t="s">
        <v>1308</v>
      </c>
      <c r="D792" t="s">
        <v>325</v>
      </c>
      <c r="E792" t="s">
        <v>752</v>
      </c>
      <c r="F792" t="s">
        <v>1309</v>
      </c>
      <c r="G792" t="str">
        <f>"201511042109"</f>
        <v>201511042109</v>
      </c>
      <c r="H792" t="s">
        <v>187</v>
      </c>
      <c r="I792">
        <v>0</v>
      </c>
      <c r="J792">
        <v>30</v>
      </c>
      <c r="K792">
        <v>0</v>
      </c>
      <c r="L792">
        <v>0</v>
      </c>
      <c r="M792">
        <v>0</v>
      </c>
      <c r="N792">
        <v>0</v>
      </c>
      <c r="O792">
        <v>0</v>
      </c>
      <c r="P792">
        <v>0</v>
      </c>
      <c r="Q792">
        <v>0</v>
      </c>
      <c r="R792">
        <v>84</v>
      </c>
      <c r="S792">
        <v>588</v>
      </c>
      <c r="T792">
        <v>0</v>
      </c>
      <c r="V792">
        <v>0</v>
      </c>
      <c r="W792" t="s">
        <v>1307</v>
      </c>
    </row>
    <row r="793" spans="1:23" x14ac:dyDescent="0.25">
      <c r="H793">
        <v>703</v>
      </c>
    </row>
    <row r="794" spans="1:23" x14ac:dyDescent="0.25">
      <c r="A794">
        <v>394</v>
      </c>
      <c r="B794">
        <v>1101</v>
      </c>
      <c r="C794" t="s">
        <v>1310</v>
      </c>
      <c r="D794" t="s">
        <v>279</v>
      </c>
      <c r="E794" t="s">
        <v>76</v>
      </c>
      <c r="F794" t="s">
        <v>1311</v>
      </c>
      <c r="G794" t="str">
        <f>"00229093"</f>
        <v>00229093</v>
      </c>
      <c r="H794" t="s">
        <v>217</v>
      </c>
      <c r="I794">
        <v>0</v>
      </c>
      <c r="J794">
        <v>70</v>
      </c>
      <c r="K794">
        <v>70</v>
      </c>
      <c r="L794">
        <v>50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72</v>
      </c>
      <c r="S794">
        <v>504</v>
      </c>
      <c r="T794">
        <v>0</v>
      </c>
      <c r="V794">
        <v>1</v>
      </c>
      <c r="W794" t="s">
        <v>1312</v>
      </c>
    </row>
    <row r="795" spans="1:23" x14ac:dyDescent="0.25">
      <c r="H795" t="s">
        <v>70</v>
      </c>
    </row>
    <row r="796" spans="1:23" x14ac:dyDescent="0.25">
      <c r="A796">
        <v>395</v>
      </c>
      <c r="B796">
        <v>1558</v>
      </c>
      <c r="C796" t="s">
        <v>1313</v>
      </c>
      <c r="D796" t="s">
        <v>382</v>
      </c>
      <c r="E796" t="s">
        <v>79</v>
      </c>
      <c r="F796" t="s">
        <v>1314</v>
      </c>
      <c r="G796" t="str">
        <f>"201406003169"</f>
        <v>201406003169</v>
      </c>
      <c r="H796" t="s">
        <v>1049</v>
      </c>
      <c r="I796">
        <v>150</v>
      </c>
      <c r="J796">
        <v>0</v>
      </c>
      <c r="K796">
        <v>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84</v>
      </c>
      <c r="S796">
        <v>588</v>
      </c>
      <c r="T796">
        <v>0</v>
      </c>
      <c r="V796">
        <v>2</v>
      </c>
      <c r="W796" t="s">
        <v>1312</v>
      </c>
    </row>
    <row r="797" spans="1:23" x14ac:dyDescent="0.25">
      <c r="H797">
        <v>703</v>
      </c>
    </row>
    <row r="798" spans="1:23" x14ac:dyDescent="0.25">
      <c r="A798">
        <v>396</v>
      </c>
      <c r="B798">
        <v>535</v>
      </c>
      <c r="C798" t="s">
        <v>144</v>
      </c>
      <c r="D798" t="s">
        <v>207</v>
      </c>
      <c r="E798" t="s">
        <v>91</v>
      </c>
      <c r="F798" t="s">
        <v>1315</v>
      </c>
      <c r="G798" t="str">
        <f>"200802002297"</f>
        <v>200802002297</v>
      </c>
      <c r="H798" t="s">
        <v>1316</v>
      </c>
      <c r="I798">
        <v>0</v>
      </c>
      <c r="J798">
        <v>30</v>
      </c>
      <c r="K798">
        <v>0</v>
      </c>
      <c r="L798">
        <v>0</v>
      </c>
      <c r="M798">
        <v>0</v>
      </c>
      <c r="N798">
        <v>0</v>
      </c>
      <c r="O798">
        <v>0</v>
      </c>
      <c r="P798">
        <v>0</v>
      </c>
      <c r="Q798">
        <v>0</v>
      </c>
      <c r="R798">
        <v>84</v>
      </c>
      <c r="S798">
        <v>588</v>
      </c>
      <c r="T798">
        <v>0</v>
      </c>
      <c r="V798">
        <v>2</v>
      </c>
      <c r="W798" t="s">
        <v>1317</v>
      </c>
    </row>
    <row r="799" spans="1:23" x14ac:dyDescent="0.25">
      <c r="H799">
        <v>703</v>
      </c>
    </row>
    <row r="800" spans="1:23" x14ac:dyDescent="0.25">
      <c r="A800">
        <v>397</v>
      </c>
      <c r="B800">
        <v>798</v>
      </c>
      <c r="C800" t="s">
        <v>1318</v>
      </c>
      <c r="D800" t="s">
        <v>140</v>
      </c>
      <c r="E800" t="s">
        <v>15</v>
      </c>
      <c r="F800" t="s">
        <v>1319</v>
      </c>
      <c r="G800" t="str">
        <f>"201406001722"</f>
        <v>201406001722</v>
      </c>
      <c r="H800" t="s">
        <v>1316</v>
      </c>
      <c r="I800">
        <v>0</v>
      </c>
      <c r="J800">
        <v>30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84</v>
      </c>
      <c r="S800">
        <v>588</v>
      </c>
      <c r="T800">
        <v>0</v>
      </c>
      <c r="V800">
        <v>0</v>
      </c>
      <c r="W800" t="s">
        <v>1317</v>
      </c>
    </row>
    <row r="801" spans="1:23" x14ac:dyDescent="0.25">
      <c r="H801">
        <v>703</v>
      </c>
    </row>
    <row r="802" spans="1:23" x14ac:dyDescent="0.25">
      <c r="A802">
        <v>398</v>
      </c>
      <c r="B802">
        <v>3105</v>
      </c>
      <c r="C802" t="s">
        <v>1320</v>
      </c>
      <c r="D802" t="s">
        <v>166</v>
      </c>
      <c r="E802" t="s">
        <v>109</v>
      </c>
      <c r="F802" t="s">
        <v>1321</v>
      </c>
      <c r="G802" t="str">
        <f>"201401000571"</f>
        <v>201401000571</v>
      </c>
      <c r="H802">
        <v>957</v>
      </c>
      <c r="I802">
        <v>0</v>
      </c>
      <c r="J802">
        <v>70</v>
      </c>
      <c r="K802">
        <v>0</v>
      </c>
      <c r="L802">
        <v>0</v>
      </c>
      <c r="M802">
        <v>0</v>
      </c>
      <c r="N802">
        <v>0</v>
      </c>
      <c r="O802">
        <v>0</v>
      </c>
      <c r="P802">
        <v>30</v>
      </c>
      <c r="Q802">
        <v>0</v>
      </c>
      <c r="R802">
        <v>84</v>
      </c>
      <c r="S802">
        <v>588</v>
      </c>
      <c r="T802">
        <v>0</v>
      </c>
      <c r="V802">
        <v>0</v>
      </c>
      <c r="W802">
        <v>1645</v>
      </c>
    </row>
    <row r="803" spans="1:23" x14ac:dyDescent="0.25">
      <c r="H803">
        <v>703</v>
      </c>
    </row>
    <row r="804" spans="1:23" x14ac:dyDescent="0.25">
      <c r="A804">
        <v>399</v>
      </c>
      <c r="B804">
        <v>428</v>
      </c>
      <c r="C804" t="s">
        <v>1322</v>
      </c>
      <c r="D804" t="s">
        <v>1323</v>
      </c>
      <c r="E804" t="s">
        <v>1324</v>
      </c>
      <c r="F804" t="s">
        <v>1325</v>
      </c>
      <c r="G804" t="str">
        <f>"201405000282"</f>
        <v>201405000282</v>
      </c>
      <c r="H804" t="s">
        <v>446</v>
      </c>
      <c r="I804">
        <v>0</v>
      </c>
      <c r="J804">
        <v>70</v>
      </c>
      <c r="K804">
        <v>0</v>
      </c>
      <c r="L804">
        <v>0</v>
      </c>
      <c r="M804">
        <v>50</v>
      </c>
      <c r="N804">
        <v>0</v>
      </c>
      <c r="O804">
        <v>0</v>
      </c>
      <c r="P804">
        <v>0</v>
      </c>
      <c r="Q804">
        <v>0</v>
      </c>
      <c r="R804">
        <v>80</v>
      </c>
      <c r="S804">
        <v>560</v>
      </c>
      <c r="T804">
        <v>0</v>
      </c>
      <c r="V804">
        <v>0</v>
      </c>
      <c r="W804" t="s">
        <v>1326</v>
      </c>
    </row>
    <row r="805" spans="1:23" x14ac:dyDescent="0.25">
      <c r="H805" t="s">
        <v>70</v>
      </c>
    </row>
    <row r="806" spans="1:23" x14ac:dyDescent="0.25">
      <c r="A806">
        <v>400</v>
      </c>
      <c r="B806">
        <v>48</v>
      </c>
      <c r="C806" t="s">
        <v>1327</v>
      </c>
      <c r="D806" t="s">
        <v>273</v>
      </c>
      <c r="E806" t="s">
        <v>58</v>
      </c>
      <c r="F806" t="s">
        <v>1328</v>
      </c>
      <c r="G806" t="str">
        <f>"200802009237"</f>
        <v>200802009237</v>
      </c>
      <c r="H806">
        <v>1056</v>
      </c>
      <c r="I806">
        <v>0</v>
      </c>
      <c r="J806">
        <v>0</v>
      </c>
      <c r="K806">
        <v>0</v>
      </c>
      <c r="L806">
        <v>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84</v>
      </c>
      <c r="S806">
        <v>588</v>
      </c>
      <c r="T806">
        <v>0</v>
      </c>
      <c r="V806">
        <v>0</v>
      </c>
      <c r="W806">
        <v>1644</v>
      </c>
    </row>
    <row r="807" spans="1:23" x14ac:dyDescent="0.25">
      <c r="H807">
        <v>703</v>
      </c>
    </row>
    <row r="808" spans="1:23" x14ac:dyDescent="0.25">
      <c r="A808">
        <v>401</v>
      </c>
      <c r="B808">
        <v>850</v>
      </c>
      <c r="C808" t="s">
        <v>1329</v>
      </c>
      <c r="D808" t="s">
        <v>134</v>
      </c>
      <c r="E808" t="s">
        <v>109</v>
      </c>
      <c r="F808" t="s">
        <v>1330</v>
      </c>
      <c r="G808" t="str">
        <f>"00181484"</f>
        <v>00181484</v>
      </c>
      <c r="H808">
        <v>1034</v>
      </c>
      <c r="I808">
        <v>0</v>
      </c>
      <c r="J808">
        <v>70</v>
      </c>
      <c r="K808">
        <v>0</v>
      </c>
      <c r="L808">
        <v>0</v>
      </c>
      <c r="M808">
        <v>0</v>
      </c>
      <c r="N808">
        <v>0</v>
      </c>
      <c r="O808">
        <v>0</v>
      </c>
      <c r="P808">
        <v>0</v>
      </c>
      <c r="Q808">
        <v>0</v>
      </c>
      <c r="R808">
        <v>77</v>
      </c>
      <c r="S808">
        <v>539</v>
      </c>
      <c r="T808">
        <v>0</v>
      </c>
      <c r="V808">
        <v>0</v>
      </c>
      <c r="W808">
        <v>1643</v>
      </c>
    </row>
    <row r="809" spans="1:23" x14ac:dyDescent="0.25">
      <c r="H809">
        <v>703</v>
      </c>
    </row>
    <row r="810" spans="1:23" x14ac:dyDescent="0.25">
      <c r="A810">
        <v>402</v>
      </c>
      <c r="B810">
        <v>2198</v>
      </c>
      <c r="C810" t="s">
        <v>1331</v>
      </c>
      <c r="D810" t="s">
        <v>248</v>
      </c>
      <c r="E810" t="s">
        <v>24</v>
      </c>
      <c r="F810" t="s">
        <v>1332</v>
      </c>
      <c r="G810" t="str">
        <f>"201409001121"</f>
        <v>201409001121</v>
      </c>
      <c r="H810" t="s">
        <v>49</v>
      </c>
      <c r="I810">
        <v>0</v>
      </c>
      <c r="J810">
        <v>0</v>
      </c>
      <c r="K810">
        <v>0</v>
      </c>
      <c r="L810">
        <v>0</v>
      </c>
      <c r="M810">
        <v>0</v>
      </c>
      <c r="N810">
        <v>0</v>
      </c>
      <c r="O810">
        <v>0</v>
      </c>
      <c r="P810">
        <v>0</v>
      </c>
      <c r="Q810">
        <v>0</v>
      </c>
      <c r="R810">
        <v>84</v>
      </c>
      <c r="S810">
        <v>588</v>
      </c>
      <c r="T810">
        <v>0</v>
      </c>
      <c r="V810">
        <v>0</v>
      </c>
      <c r="W810" t="s">
        <v>1333</v>
      </c>
    </row>
    <row r="811" spans="1:23" x14ac:dyDescent="0.25">
      <c r="H811">
        <v>703</v>
      </c>
    </row>
    <row r="812" spans="1:23" x14ac:dyDescent="0.25">
      <c r="A812">
        <v>403</v>
      </c>
      <c r="B812">
        <v>1501</v>
      </c>
      <c r="C812" t="s">
        <v>1334</v>
      </c>
      <c r="D812" t="s">
        <v>873</v>
      </c>
      <c r="E812" t="s">
        <v>752</v>
      </c>
      <c r="F812" t="s">
        <v>1335</v>
      </c>
      <c r="G812" t="str">
        <f>"00095079"</f>
        <v>00095079</v>
      </c>
      <c r="H812" t="s">
        <v>142</v>
      </c>
      <c r="I812">
        <v>0</v>
      </c>
      <c r="J812">
        <v>70</v>
      </c>
      <c r="K812">
        <v>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73</v>
      </c>
      <c r="S812">
        <v>511</v>
      </c>
      <c r="T812">
        <v>0</v>
      </c>
      <c r="V812">
        <v>0</v>
      </c>
      <c r="W812" t="s">
        <v>1336</v>
      </c>
    </row>
    <row r="813" spans="1:23" x14ac:dyDescent="0.25">
      <c r="H813">
        <v>703</v>
      </c>
    </row>
    <row r="814" spans="1:23" x14ac:dyDescent="0.25">
      <c r="A814">
        <v>404</v>
      </c>
      <c r="B814">
        <v>166</v>
      </c>
      <c r="C814" t="s">
        <v>1337</v>
      </c>
      <c r="D814" t="s">
        <v>1338</v>
      </c>
      <c r="E814" t="s">
        <v>24</v>
      </c>
      <c r="F814" t="s">
        <v>1339</v>
      </c>
      <c r="G814" t="str">
        <f>"201511026022"</f>
        <v>201511026022</v>
      </c>
      <c r="H814" t="s">
        <v>202</v>
      </c>
      <c r="I814">
        <v>0</v>
      </c>
      <c r="J814">
        <v>70</v>
      </c>
      <c r="K814">
        <v>0</v>
      </c>
      <c r="L814">
        <v>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84</v>
      </c>
      <c r="S814">
        <v>588</v>
      </c>
      <c r="T814">
        <v>0</v>
      </c>
      <c r="V814">
        <v>0</v>
      </c>
      <c r="W814" t="s">
        <v>1336</v>
      </c>
    </row>
    <row r="815" spans="1:23" x14ac:dyDescent="0.25">
      <c r="H815">
        <v>703</v>
      </c>
    </row>
    <row r="816" spans="1:23" x14ac:dyDescent="0.25">
      <c r="A816">
        <v>405</v>
      </c>
      <c r="B816">
        <v>1157</v>
      </c>
      <c r="C816" t="s">
        <v>1340</v>
      </c>
      <c r="D816" t="s">
        <v>427</v>
      </c>
      <c r="E816" t="s">
        <v>227</v>
      </c>
      <c r="F816" t="s">
        <v>1341</v>
      </c>
      <c r="G816" t="str">
        <f>"201405001336"</f>
        <v>201405001336</v>
      </c>
      <c r="H816" t="s">
        <v>363</v>
      </c>
      <c r="I816">
        <v>0</v>
      </c>
      <c r="J816">
        <v>30</v>
      </c>
      <c r="K816">
        <v>0</v>
      </c>
      <c r="L816">
        <v>0</v>
      </c>
      <c r="M816">
        <v>0</v>
      </c>
      <c r="N816">
        <v>30</v>
      </c>
      <c r="O816">
        <v>0</v>
      </c>
      <c r="P816">
        <v>0</v>
      </c>
      <c r="Q816">
        <v>0</v>
      </c>
      <c r="R816">
        <v>84</v>
      </c>
      <c r="S816">
        <v>588</v>
      </c>
      <c r="T816">
        <v>0</v>
      </c>
      <c r="V816">
        <v>0</v>
      </c>
      <c r="W816" t="s">
        <v>1342</v>
      </c>
    </row>
    <row r="817" spans="1:23" x14ac:dyDescent="0.25">
      <c r="H817" t="s">
        <v>26</v>
      </c>
    </row>
    <row r="818" spans="1:23" x14ac:dyDescent="0.25">
      <c r="A818">
        <v>406</v>
      </c>
      <c r="B818">
        <v>1872</v>
      </c>
      <c r="C818" t="s">
        <v>1343</v>
      </c>
      <c r="D818" t="s">
        <v>1344</v>
      </c>
      <c r="E818" t="s">
        <v>1166</v>
      </c>
      <c r="F818" t="s">
        <v>1345</v>
      </c>
      <c r="G818" t="str">
        <f>"200802000345"</f>
        <v>200802000345</v>
      </c>
      <c r="H818" t="s">
        <v>1101</v>
      </c>
      <c r="I818">
        <v>0</v>
      </c>
      <c r="J818">
        <v>30</v>
      </c>
      <c r="K818">
        <v>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84</v>
      </c>
      <c r="S818">
        <v>588</v>
      </c>
      <c r="T818">
        <v>0</v>
      </c>
      <c r="V818">
        <v>0</v>
      </c>
      <c r="W818" t="s">
        <v>1346</v>
      </c>
    </row>
    <row r="819" spans="1:23" x14ac:dyDescent="0.25">
      <c r="H819" t="s">
        <v>26</v>
      </c>
    </row>
    <row r="820" spans="1:23" x14ac:dyDescent="0.25">
      <c r="A820">
        <v>407</v>
      </c>
      <c r="B820">
        <v>2087</v>
      </c>
      <c r="C820" t="s">
        <v>1347</v>
      </c>
      <c r="D820" t="s">
        <v>46</v>
      </c>
      <c r="E820" t="s">
        <v>53</v>
      </c>
      <c r="F820" t="s">
        <v>1348</v>
      </c>
      <c r="G820" t="str">
        <f>"200712004429"</f>
        <v>200712004429</v>
      </c>
      <c r="H820">
        <v>968</v>
      </c>
      <c r="I820">
        <v>0</v>
      </c>
      <c r="J820">
        <v>70</v>
      </c>
      <c r="K820">
        <v>30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82</v>
      </c>
      <c r="S820">
        <v>574</v>
      </c>
      <c r="T820">
        <v>0</v>
      </c>
      <c r="V820">
        <v>0</v>
      </c>
      <c r="W820">
        <v>1642</v>
      </c>
    </row>
    <row r="821" spans="1:23" x14ac:dyDescent="0.25">
      <c r="H821">
        <v>703</v>
      </c>
    </row>
    <row r="822" spans="1:23" x14ac:dyDescent="0.25">
      <c r="A822">
        <v>408</v>
      </c>
      <c r="B822">
        <v>2196</v>
      </c>
      <c r="C822" t="s">
        <v>1349</v>
      </c>
      <c r="D822" t="s">
        <v>273</v>
      </c>
      <c r="E822" t="s">
        <v>1350</v>
      </c>
      <c r="F822" t="s">
        <v>1351</v>
      </c>
      <c r="G822" t="str">
        <f>"201406010050"</f>
        <v>201406010050</v>
      </c>
      <c r="H822">
        <v>1023</v>
      </c>
      <c r="I822">
        <v>0</v>
      </c>
      <c r="J822">
        <v>30</v>
      </c>
      <c r="K822">
        <v>0</v>
      </c>
      <c r="L822">
        <v>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84</v>
      </c>
      <c r="S822">
        <v>588</v>
      </c>
      <c r="T822">
        <v>0</v>
      </c>
      <c r="V822">
        <v>1</v>
      </c>
      <c r="W822">
        <v>1641</v>
      </c>
    </row>
    <row r="823" spans="1:23" x14ac:dyDescent="0.25">
      <c r="H823" t="s">
        <v>26</v>
      </c>
    </row>
    <row r="824" spans="1:23" x14ac:dyDescent="0.25">
      <c r="A824">
        <v>409</v>
      </c>
      <c r="B824">
        <v>752</v>
      </c>
      <c r="C824" t="s">
        <v>1352</v>
      </c>
      <c r="D824" t="s">
        <v>273</v>
      </c>
      <c r="E824" t="s">
        <v>53</v>
      </c>
      <c r="F824" t="s">
        <v>1353</v>
      </c>
      <c r="G824" t="str">
        <f>"201511026134"</f>
        <v>201511026134</v>
      </c>
      <c r="H824">
        <v>913</v>
      </c>
      <c r="I824">
        <v>0</v>
      </c>
      <c r="J824">
        <v>70</v>
      </c>
      <c r="K824">
        <v>70</v>
      </c>
      <c r="L824">
        <v>0</v>
      </c>
      <c r="M824">
        <v>0</v>
      </c>
      <c r="N824">
        <v>0</v>
      </c>
      <c r="O824">
        <v>0</v>
      </c>
      <c r="P824">
        <v>0</v>
      </c>
      <c r="Q824">
        <v>0</v>
      </c>
      <c r="R824">
        <v>84</v>
      </c>
      <c r="S824">
        <v>588</v>
      </c>
      <c r="T824">
        <v>0</v>
      </c>
      <c r="V824">
        <v>0</v>
      </c>
      <c r="W824">
        <v>1641</v>
      </c>
    </row>
    <row r="825" spans="1:23" x14ac:dyDescent="0.25">
      <c r="H825" t="s">
        <v>26</v>
      </c>
    </row>
    <row r="826" spans="1:23" x14ac:dyDescent="0.25">
      <c r="A826">
        <v>410</v>
      </c>
      <c r="B826">
        <v>917</v>
      </c>
      <c r="C826" t="s">
        <v>1354</v>
      </c>
      <c r="D826" t="s">
        <v>1355</v>
      </c>
      <c r="E826" t="s">
        <v>53</v>
      </c>
      <c r="F826" t="s">
        <v>1356</v>
      </c>
      <c r="G826" t="str">
        <f>"201511016214"</f>
        <v>201511016214</v>
      </c>
      <c r="H826" t="s">
        <v>881</v>
      </c>
      <c r="I826">
        <v>0</v>
      </c>
      <c r="J826">
        <v>0</v>
      </c>
      <c r="K826">
        <v>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84</v>
      </c>
      <c r="S826">
        <v>588</v>
      </c>
      <c r="T826">
        <v>0</v>
      </c>
      <c r="V826">
        <v>2</v>
      </c>
      <c r="W826" t="s">
        <v>1357</v>
      </c>
    </row>
    <row r="827" spans="1:23" x14ac:dyDescent="0.25">
      <c r="H827">
        <v>703</v>
      </c>
    </row>
    <row r="828" spans="1:23" x14ac:dyDescent="0.25">
      <c r="A828">
        <v>411</v>
      </c>
      <c r="B828">
        <v>1193</v>
      </c>
      <c r="C828" t="s">
        <v>1279</v>
      </c>
      <c r="D828" t="s">
        <v>273</v>
      </c>
      <c r="E828" t="s">
        <v>105</v>
      </c>
      <c r="F828" t="s">
        <v>1358</v>
      </c>
      <c r="G828" t="str">
        <f>"200712004164"</f>
        <v>200712004164</v>
      </c>
      <c r="H828" t="s">
        <v>1359</v>
      </c>
      <c r="I828">
        <v>150</v>
      </c>
      <c r="J828">
        <v>50</v>
      </c>
      <c r="K828">
        <v>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84</v>
      </c>
      <c r="S828">
        <v>588</v>
      </c>
      <c r="T828">
        <v>0</v>
      </c>
      <c r="V828">
        <v>0</v>
      </c>
      <c r="W828" t="s">
        <v>1360</v>
      </c>
    </row>
    <row r="829" spans="1:23" x14ac:dyDescent="0.25">
      <c r="H829">
        <v>703</v>
      </c>
    </row>
    <row r="830" spans="1:23" x14ac:dyDescent="0.25">
      <c r="A830">
        <v>412</v>
      </c>
      <c r="B830">
        <v>310</v>
      </c>
      <c r="C830" t="s">
        <v>823</v>
      </c>
      <c r="D830" t="s">
        <v>226</v>
      </c>
      <c r="E830" t="s">
        <v>41</v>
      </c>
      <c r="F830" t="s">
        <v>1361</v>
      </c>
      <c r="G830" t="str">
        <f>"201411001709"</f>
        <v>201411001709</v>
      </c>
      <c r="H830" t="s">
        <v>1362</v>
      </c>
      <c r="I830">
        <v>0</v>
      </c>
      <c r="J830">
        <v>30</v>
      </c>
      <c r="K830">
        <v>0</v>
      </c>
      <c r="L830">
        <v>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84</v>
      </c>
      <c r="S830">
        <v>588</v>
      </c>
      <c r="T830">
        <v>0</v>
      </c>
      <c r="V830">
        <v>0</v>
      </c>
      <c r="W830" t="s">
        <v>1363</v>
      </c>
    </row>
    <row r="831" spans="1:23" x14ac:dyDescent="0.25">
      <c r="H831">
        <v>703</v>
      </c>
    </row>
    <row r="832" spans="1:23" x14ac:dyDescent="0.25">
      <c r="A832">
        <v>413</v>
      </c>
      <c r="B832">
        <v>330</v>
      </c>
      <c r="C832" t="s">
        <v>1364</v>
      </c>
      <c r="D832" t="s">
        <v>140</v>
      </c>
      <c r="E832" t="s">
        <v>62</v>
      </c>
      <c r="F832" t="s">
        <v>1365</v>
      </c>
      <c r="G832" t="str">
        <f>"00225971"</f>
        <v>00225971</v>
      </c>
      <c r="H832">
        <v>1034</v>
      </c>
      <c r="I832">
        <v>0</v>
      </c>
      <c r="J832">
        <v>50</v>
      </c>
      <c r="K832">
        <v>30</v>
      </c>
      <c r="L832">
        <v>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75</v>
      </c>
      <c r="S832">
        <v>525</v>
      </c>
      <c r="T832">
        <v>0</v>
      </c>
      <c r="V832">
        <v>0</v>
      </c>
      <c r="W832">
        <v>1639</v>
      </c>
    </row>
    <row r="833" spans="1:23" x14ac:dyDescent="0.25">
      <c r="H833" t="s">
        <v>70</v>
      </c>
    </row>
    <row r="834" spans="1:23" x14ac:dyDescent="0.25">
      <c r="A834">
        <v>414</v>
      </c>
      <c r="B834">
        <v>306</v>
      </c>
      <c r="C834" t="s">
        <v>1366</v>
      </c>
      <c r="D834" t="s">
        <v>1367</v>
      </c>
      <c r="E834" t="s">
        <v>1368</v>
      </c>
      <c r="F834" t="s">
        <v>1369</v>
      </c>
      <c r="G834" t="str">
        <f>"00151744"</f>
        <v>00151744</v>
      </c>
      <c r="H834" t="s">
        <v>1370</v>
      </c>
      <c r="I834">
        <v>0</v>
      </c>
      <c r="J834">
        <v>70</v>
      </c>
      <c r="K834">
        <v>0</v>
      </c>
      <c r="L834">
        <v>0</v>
      </c>
      <c r="M834">
        <v>0</v>
      </c>
      <c r="N834">
        <v>0</v>
      </c>
      <c r="O834">
        <v>0</v>
      </c>
      <c r="P834">
        <v>0</v>
      </c>
      <c r="Q834">
        <v>0</v>
      </c>
      <c r="R834">
        <v>84</v>
      </c>
      <c r="S834">
        <v>588</v>
      </c>
      <c r="T834">
        <v>0</v>
      </c>
      <c r="V834">
        <v>0</v>
      </c>
      <c r="W834" t="s">
        <v>1371</v>
      </c>
    </row>
    <row r="835" spans="1:23" x14ac:dyDescent="0.25">
      <c r="H835">
        <v>703</v>
      </c>
    </row>
    <row r="836" spans="1:23" x14ac:dyDescent="0.25">
      <c r="A836">
        <v>415</v>
      </c>
      <c r="B836">
        <v>2438</v>
      </c>
      <c r="C836" t="s">
        <v>1372</v>
      </c>
      <c r="D836" t="s">
        <v>254</v>
      </c>
      <c r="E836" t="s">
        <v>53</v>
      </c>
      <c r="F836" t="s">
        <v>1373</v>
      </c>
      <c r="G836" t="str">
        <f>"00143232"</f>
        <v>00143232</v>
      </c>
      <c r="H836">
        <v>1089</v>
      </c>
      <c r="I836">
        <v>150</v>
      </c>
      <c r="J836">
        <v>0</v>
      </c>
      <c r="K836">
        <v>0</v>
      </c>
      <c r="L836">
        <v>0</v>
      </c>
      <c r="M836">
        <v>0</v>
      </c>
      <c r="N836">
        <v>0</v>
      </c>
      <c r="O836">
        <v>0</v>
      </c>
      <c r="P836">
        <v>0</v>
      </c>
      <c r="Q836">
        <v>0</v>
      </c>
      <c r="R836">
        <v>57</v>
      </c>
      <c r="S836">
        <v>399</v>
      </c>
      <c r="T836">
        <v>0</v>
      </c>
      <c r="V836">
        <v>0</v>
      </c>
      <c r="W836">
        <v>1638</v>
      </c>
    </row>
    <row r="837" spans="1:23" x14ac:dyDescent="0.25">
      <c r="H837">
        <v>703</v>
      </c>
    </row>
    <row r="838" spans="1:23" x14ac:dyDescent="0.25">
      <c r="A838">
        <v>416</v>
      </c>
      <c r="B838">
        <v>2073</v>
      </c>
      <c r="C838" t="s">
        <v>980</v>
      </c>
      <c r="D838" t="s">
        <v>32</v>
      </c>
      <c r="E838" t="s">
        <v>58</v>
      </c>
      <c r="F838" t="s">
        <v>1374</v>
      </c>
      <c r="G838" t="str">
        <f>"201406012634"</f>
        <v>201406012634</v>
      </c>
      <c r="H838">
        <v>1067</v>
      </c>
      <c r="I838">
        <v>150</v>
      </c>
      <c r="J838">
        <v>50</v>
      </c>
      <c r="K838">
        <v>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53</v>
      </c>
      <c r="S838">
        <v>371</v>
      </c>
      <c r="T838">
        <v>0</v>
      </c>
      <c r="V838">
        <v>0</v>
      </c>
      <c r="W838">
        <v>1638</v>
      </c>
    </row>
    <row r="839" spans="1:23" x14ac:dyDescent="0.25">
      <c r="H839">
        <v>703</v>
      </c>
    </row>
    <row r="840" spans="1:23" x14ac:dyDescent="0.25">
      <c r="A840">
        <v>417</v>
      </c>
      <c r="B840">
        <v>2540</v>
      </c>
      <c r="C840" t="s">
        <v>1375</v>
      </c>
      <c r="D840" t="s">
        <v>76</v>
      </c>
      <c r="E840" t="s">
        <v>15</v>
      </c>
      <c r="F840" t="s">
        <v>1376</v>
      </c>
      <c r="G840" t="str">
        <f>"00229927"</f>
        <v>00229927</v>
      </c>
      <c r="H840" t="s">
        <v>1377</v>
      </c>
      <c r="I840">
        <v>150</v>
      </c>
      <c r="J840">
        <v>0</v>
      </c>
      <c r="K840">
        <v>0</v>
      </c>
      <c r="L840">
        <v>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84</v>
      </c>
      <c r="S840">
        <v>588</v>
      </c>
      <c r="T840">
        <v>0</v>
      </c>
      <c r="V840">
        <v>0</v>
      </c>
      <c r="W840" t="s">
        <v>1378</v>
      </c>
    </row>
    <row r="841" spans="1:23" x14ac:dyDescent="0.25">
      <c r="H841">
        <v>703</v>
      </c>
    </row>
    <row r="842" spans="1:23" x14ac:dyDescent="0.25">
      <c r="A842">
        <v>418</v>
      </c>
      <c r="B842">
        <v>164</v>
      </c>
      <c r="C842" t="s">
        <v>1379</v>
      </c>
      <c r="D842" t="s">
        <v>109</v>
      </c>
      <c r="E842" t="s">
        <v>227</v>
      </c>
      <c r="F842" t="s">
        <v>1380</v>
      </c>
      <c r="G842" t="str">
        <f>"00109552"</f>
        <v>00109552</v>
      </c>
      <c r="H842" t="s">
        <v>158</v>
      </c>
      <c r="I842">
        <v>0</v>
      </c>
      <c r="J842">
        <v>30</v>
      </c>
      <c r="K842">
        <v>0</v>
      </c>
      <c r="L842">
        <v>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84</v>
      </c>
      <c r="S842">
        <v>588</v>
      </c>
      <c r="T842">
        <v>0</v>
      </c>
      <c r="V842">
        <v>1</v>
      </c>
      <c r="W842" t="s">
        <v>1381</v>
      </c>
    </row>
    <row r="843" spans="1:23" x14ac:dyDescent="0.25">
      <c r="H843">
        <v>703</v>
      </c>
    </row>
    <row r="844" spans="1:23" x14ac:dyDescent="0.25">
      <c r="A844">
        <v>419</v>
      </c>
      <c r="B844">
        <v>519</v>
      </c>
      <c r="C844" t="s">
        <v>1382</v>
      </c>
      <c r="D844" t="s">
        <v>53</v>
      </c>
      <c r="E844" t="s">
        <v>1383</v>
      </c>
      <c r="F844" t="s">
        <v>1384</v>
      </c>
      <c r="G844" t="str">
        <f>"00222041"</f>
        <v>00222041</v>
      </c>
      <c r="H844" t="s">
        <v>158</v>
      </c>
      <c r="I844">
        <v>0</v>
      </c>
      <c r="J844">
        <v>30</v>
      </c>
      <c r="K844">
        <v>0</v>
      </c>
      <c r="L844">
        <v>0</v>
      </c>
      <c r="M844">
        <v>0</v>
      </c>
      <c r="N844">
        <v>0</v>
      </c>
      <c r="O844">
        <v>0</v>
      </c>
      <c r="P844">
        <v>0</v>
      </c>
      <c r="Q844">
        <v>0</v>
      </c>
      <c r="R844">
        <v>84</v>
      </c>
      <c r="S844">
        <v>588</v>
      </c>
      <c r="T844">
        <v>0</v>
      </c>
      <c r="V844">
        <v>0</v>
      </c>
      <c r="W844" t="s">
        <v>1381</v>
      </c>
    </row>
    <row r="845" spans="1:23" x14ac:dyDescent="0.25">
      <c r="H845">
        <v>703</v>
      </c>
    </row>
    <row r="846" spans="1:23" x14ac:dyDescent="0.25">
      <c r="A846">
        <v>420</v>
      </c>
      <c r="B846">
        <v>1849</v>
      </c>
      <c r="C846" t="s">
        <v>1385</v>
      </c>
      <c r="D846" t="s">
        <v>248</v>
      </c>
      <c r="E846" t="s">
        <v>1196</v>
      </c>
      <c r="F846" t="s">
        <v>1386</v>
      </c>
      <c r="G846" t="str">
        <f>"200801010380"</f>
        <v>200801010380</v>
      </c>
      <c r="H846" t="s">
        <v>158</v>
      </c>
      <c r="I846">
        <v>0</v>
      </c>
      <c r="J846">
        <v>30</v>
      </c>
      <c r="K846">
        <v>0</v>
      </c>
      <c r="L846">
        <v>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84</v>
      </c>
      <c r="S846">
        <v>588</v>
      </c>
      <c r="T846">
        <v>0</v>
      </c>
      <c r="V846">
        <v>0</v>
      </c>
      <c r="W846" t="s">
        <v>1381</v>
      </c>
    </row>
    <row r="847" spans="1:23" x14ac:dyDescent="0.25">
      <c r="H847">
        <v>703</v>
      </c>
    </row>
    <row r="848" spans="1:23" x14ac:dyDescent="0.25">
      <c r="A848">
        <v>421</v>
      </c>
      <c r="B848">
        <v>2983</v>
      </c>
      <c r="C848" t="s">
        <v>1387</v>
      </c>
      <c r="D848" t="s">
        <v>1388</v>
      </c>
      <c r="E848" t="s">
        <v>105</v>
      </c>
      <c r="F848" t="s">
        <v>1389</v>
      </c>
      <c r="G848" t="str">
        <f>"201406004221"</f>
        <v>201406004221</v>
      </c>
      <c r="H848">
        <v>1100</v>
      </c>
      <c r="I848">
        <v>150</v>
      </c>
      <c r="J848">
        <v>30</v>
      </c>
      <c r="K848">
        <v>0</v>
      </c>
      <c r="L848">
        <v>0</v>
      </c>
      <c r="M848">
        <v>0</v>
      </c>
      <c r="N848">
        <v>0</v>
      </c>
      <c r="O848">
        <v>0</v>
      </c>
      <c r="P848">
        <v>0</v>
      </c>
      <c r="Q848">
        <v>0</v>
      </c>
      <c r="R848">
        <v>51</v>
      </c>
      <c r="S848">
        <v>357</v>
      </c>
      <c r="T848">
        <v>0</v>
      </c>
      <c r="V848">
        <v>0</v>
      </c>
      <c r="W848">
        <v>1637</v>
      </c>
    </row>
    <row r="849" spans="1:23" x14ac:dyDescent="0.25">
      <c r="H849">
        <v>703</v>
      </c>
    </row>
    <row r="850" spans="1:23" x14ac:dyDescent="0.25">
      <c r="A850">
        <v>422</v>
      </c>
      <c r="B850">
        <v>415</v>
      </c>
      <c r="C850" t="s">
        <v>1390</v>
      </c>
      <c r="D850" t="s">
        <v>140</v>
      </c>
      <c r="E850" t="s">
        <v>326</v>
      </c>
      <c r="F850" t="s">
        <v>1391</v>
      </c>
      <c r="G850" t="str">
        <f>"00025228"</f>
        <v>00025228</v>
      </c>
      <c r="H850">
        <v>1067</v>
      </c>
      <c r="I850">
        <v>150</v>
      </c>
      <c r="J850">
        <v>70</v>
      </c>
      <c r="K850">
        <v>0</v>
      </c>
      <c r="L850">
        <v>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50</v>
      </c>
      <c r="S850">
        <v>350</v>
      </c>
      <c r="T850">
        <v>0</v>
      </c>
      <c r="V850">
        <v>2</v>
      </c>
      <c r="W850">
        <v>1637</v>
      </c>
    </row>
    <row r="851" spans="1:23" x14ac:dyDescent="0.25">
      <c r="H851">
        <v>703</v>
      </c>
    </row>
    <row r="852" spans="1:23" x14ac:dyDescent="0.25">
      <c r="A852">
        <v>423</v>
      </c>
      <c r="B852">
        <v>2415</v>
      </c>
      <c r="C852" t="s">
        <v>1392</v>
      </c>
      <c r="D852" t="s">
        <v>1393</v>
      </c>
      <c r="E852" t="s">
        <v>478</v>
      </c>
      <c r="F852" t="s">
        <v>1394</v>
      </c>
      <c r="G852" t="str">
        <f>"00230367"</f>
        <v>00230367</v>
      </c>
      <c r="H852">
        <v>979</v>
      </c>
      <c r="I852">
        <v>0</v>
      </c>
      <c r="J852">
        <v>70</v>
      </c>
      <c r="K852">
        <v>0</v>
      </c>
      <c r="L852">
        <v>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84</v>
      </c>
      <c r="S852">
        <v>588</v>
      </c>
      <c r="T852">
        <v>0</v>
      </c>
      <c r="V852">
        <v>0</v>
      </c>
      <c r="W852">
        <v>1637</v>
      </c>
    </row>
    <row r="853" spans="1:23" x14ac:dyDescent="0.25">
      <c r="H853">
        <v>703</v>
      </c>
    </row>
    <row r="854" spans="1:23" x14ac:dyDescent="0.25">
      <c r="A854">
        <v>424</v>
      </c>
      <c r="B854">
        <v>3051</v>
      </c>
      <c r="C854" t="s">
        <v>1248</v>
      </c>
      <c r="D854" t="s">
        <v>194</v>
      </c>
      <c r="E854" t="s">
        <v>58</v>
      </c>
      <c r="F854" t="s">
        <v>1395</v>
      </c>
      <c r="G854" t="str">
        <f>"201405001610"</f>
        <v>201405001610</v>
      </c>
      <c r="H854">
        <v>869</v>
      </c>
      <c r="I854">
        <v>150</v>
      </c>
      <c r="J854">
        <v>30</v>
      </c>
      <c r="K854">
        <v>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84</v>
      </c>
      <c r="S854">
        <v>588</v>
      </c>
      <c r="T854">
        <v>0</v>
      </c>
      <c r="V854">
        <v>2</v>
      </c>
      <c r="W854">
        <v>1637</v>
      </c>
    </row>
    <row r="855" spans="1:23" x14ac:dyDescent="0.25">
      <c r="H855">
        <v>703</v>
      </c>
    </row>
    <row r="856" spans="1:23" x14ac:dyDescent="0.25">
      <c r="A856">
        <v>425</v>
      </c>
      <c r="B856">
        <v>2877</v>
      </c>
      <c r="C856" t="s">
        <v>1396</v>
      </c>
      <c r="D856" t="s">
        <v>1397</v>
      </c>
      <c r="E856" t="s">
        <v>99</v>
      </c>
      <c r="F856" t="s">
        <v>1398</v>
      </c>
      <c r="G856" t="str">
        <f>"200802002728"</f>
        <v>200802002728</v>
      </c>
      <c r="H856" t="s">
        <v>982</v>
      </c>
      <c r="I856">
        <v>150</v>
      </c>
      <c r="J856">
        <v>0</v>
      </c>
      <c r="K856">
        <v>0</v>
      </c>
      <c r="L856">
        <v>0</v>
      </c>
      <c r="M856">
        <v>0</v>
      </c>
      <c r="N856">
        <v>0</v>
      </c>
      <c r="O856">
        <v>0</v>
      </c>
      <c r="P856">
        <v>0</v>
      </c>
      <c r="Q856">
        <v>0</v>
      </c>
      <c r="R856">
        <v>84</v>
      </c>
      <c r="S856">
        <v>588</v>
      </c>
      <c r="T856">
        <v>0</v>
      </c>
      <c r="V856">
        <v>0</v>
      </c>
      <c r="W856" t="s">
        <v>1399</v>
      </c>
    </row>
    <row r="857" spans="1:23" x14ac:dyDescent="0.25">
      <c r="H857">
        <v>703</v>
      </c>
    </row>
    <row r="858" spans="1:23" x14ac:dyDescent="0.25">
      <c r="A858">
        <v>426</v>
      </c>
      <c r="B858">
        <v>1760</v>
      </c>
      <c r="C858" t="s">
        <v>1400</v>
      </c>
      <c r="D858" t="s">
        <v>1401</v>
      </c>
      <c r="E858" t="s">
        <v>105</v>
      </c>
      <c r="F858" t="s">
        <v>1402</v>
      </c>
      <c r="G858" t="str">
        <f>"00126679"</f>
        <v>00126679</v>
      </c>
      <c r="H858" t="s">
        <v>385</v>
      </c>
      <c r="I858">
        <v>0</v>
      </c>
      <c r="J858">
        <v>70</v>
      </c>
      <c r="K858">
        <v>0</v>
      </c>
      <c r="L858">
        <v>0</v>
      </c>
      <c r="M858">
        <v>30</v>
      </c>
      <c r="N858">
        <v>0</v>
      </c>
      <c r="O858">
        <v>0</v>
      </c>
      <c r="P858">
        <v>0</v>
      </c>
      <c r="Q858">
        <v>0</v>
      </c>
      <c r="R858">
        <v>74</v>
      </c>
      <c r="S858">
        <v>518</v>
      </c>
      <c r="T858">
        <v>0</v>
      </c>
      <c r="V858">
        <v>0</v>
      </c>
      <c r="W858" t="s">
        <v>1403</v>
      </c>
    </row>
    <row r="859" spans="1:23" x14ac:dyDescent="0.25">
      <c r="H859" t="s">
        <v>70</v>
      </c>
    </row>
    <row r="860" spans="1:23" x14ac:dyDescent="0.25">
      <c r="A860">
        <v>427</v>
      </c>
      <c r="B860">
        <v>293</v>
      </c>
      <c r="C860" t="s">
        <v>1404</v>
      </c>
      <c r="D860" t="s">
        <v>46</v>
      </c>
      <c r="E860" t="s">
        <v>523</v>
      </c>
      <c r="F860" t="s">
        <v>1405</v>
      </c>
      <c r="G860" t="str">
        <f>"00002985"</f>
        <v>00002985</v>
      </c>
      <c r="H860">
        <v>946</v>
      </c>
      <c r="I860">
        <v>0</v>
      </c>
      <c r="J860">
        <v>70</v>
      </c>
      <c r="K860">
        <v>0</v>
      </c>
      <c r="L860">
        <v>0</v>
      </c>
      <c r="M860">
        <v>0</v>
      </c>
      <c r="N860">
        <v>30</v>
      </c>
      <c r="O860">
        <v>0</v>
      </c>
      <c r="P860">
        <v>0</v>
      </c>
      <c r="Q860">
        <v>0</v>
      </c>
      <c r="R860">
        <v>84</v>
      </c>
      <c r="S860">
        <v>588</v>
      </c>
      <c r="T860">
        <v>0</v>
      </c>
      <c r="V860">
        <v>0</v>
      </c>
      <c r="W860">
        <v>1634</v>
      </c>
    </row>
    <row r="861" spans="1:23" x14ac:dyDescent="0.25">
      <c r="H861" t="s">
        <v>26</v>
      </c>
    </row>
    <row r="862" spans="1:23" x14ac:dyDescent="0.25">
      <c r="A862">
        <v>428</v>
      </c>
      <c r="B862">
        <v>3053</v>
      </c>
      <c r="C862" t="s">
        <v>1406</v>
      </c>
      <c r="D862" t="s">
        <v>28</v>
      </c>
      <c r="E862" t="s">
        <v>53</v>
      </c>
      <c r="F862" t="s">
        <v>1407</v>
      </c>
      <c r="G862" t="str">
        <f>"201402011575"</f>
        <v>201402011575</v>
      </c>
      <c r="H862">
        <v>1045</v>
      </c>
      <c r="I862">
        <v>0</v>
      </c>
      <c r="J862">
        <v>0</v>
      </c>
      <c r="K862">
        <v>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84</v>
      </c>
      <c r="S862">
        <v>588</v>
      </c>
      <c r="T862">
        <v>0</v>
      </c>
      <c r="V862">
        <v>0</v>
      </c>
      <c r="W862">
        <v>1633</v>
      </c>
    </row>
    <row r="863" spans="1:23" x14ac:dyDescent="0.25">
      <c r="H863">
        <v>703</v>
      </c>
    </row>
    <row r="864" spans="1:23" x14ac:dyDescent="0.25">
      <c r="A864">
        <v>429</v>
      </c>
      <c r="B864">
        <v>1976</v>
      </c>
      <c r="C864" t="s">
        <v>1408</v>
      </c>
      <c r="D864" t="s">
        <v>41</v>
      </c>
      <c r="E864" t="s">
        <v>99</v>
      </c>
      <c r="F864" t="s">
        <v>1409</v>
      </c>
      <c r="G864" t="str">
        <f>"00223849"</f>
        <v>00223849</v>
      </c>
      <c r="H864">
        <v>825</v>
      </c>
      <c r="I864">
        <v>150</v>
      </c>
      <c r="J864">
        <v>70</v>
      </c>
      <c r="K864">
        <v>0</v>
      </c>
      <c r="L864">
        <v>0</v>
      </c>
      <c r="M864">
        <v>0</v>
      </c>
      <c r="N864">
        <v>0</v>
      </c>
      <c r="O864">
        <v>0</v>
      </c>
      <c r="P864">
        <v>0</v>
      </c>
      <c r="Q864">
        <v>0</v>
      </c>
      <c r="R864">
        <v>84</v>
      </c>
      <c r="S864">
        <v>588</v>
      </c>
      <c r="T864">
        <v>0</v>
      </c>
      <c r="V864">
        <v>0</v>
      </c>
      <c r="W864">
        <v>1633</v>
      </c>
    </row>
    <row r="865" spans="1:23" x14ac:dyDescent="0.25">
      <c r="H865" t="s">
        <v>26</v>
      </c>
    </row>
    <row r="866" spans="1:23" x14ac:dyDescent="0.25">
      <c r="A866">
        <v>430</v>
      </c>
      <c r="B866">
        <v>2241</v>
      </c>
      <c r="C866" t="s">
        <v>1410</v>
      </c>
      <c r="D866" t="s">
        <v>1411</v>
      </c>
      <c r="E866" t="s">
        <v>1412</v>
      </c>
      <c r="F866" t="s">
        <v>1413</v>
      </c>
      <c r="G866" t="str">
        <f>"201506004281"</f>
        <v>201506004281</v>
      </c>
      <c r="H866">
        <v>825</v>
      </c>
      <c r="I866">
        <v>150</v>
      </c>
      <c r="J866">
        <v>70</v>
      </c>
      <c r="K866">
        <v>0</v>
      </c>
      <c r="L866">
        <v>0</v>
      </c>
      <c r="M866">
        <v>0</v>
      </c>
      <c r="N866">
        <v>0</v>
      </c>
      <c r="O866">
        <v>0</v>
      </c>
      <c r="P866">
        <v>0</v>
      </c>
      <c r="Q866">
        <v>0</v>
      </c>
      <c r="R866">
        <v>84</v>
      </c>
      <c r="S866">
        <v>588</v>
      </c>
      <c r="T866">
        <v>0</v>
      </c>
      <c r="V866">
        <v>0</v>
      </c>
      <c r="W866">
        <v>1633</v>
      </c>
    </row>
    <row r="867" spans="1:23" x14ac:dyDescent="0.25">
      <c r="H867" t="s">
        <v>26</v>
      </c>
    </row>
    <row r="868" spans="1:23" x14ac:dyDescent="0.25">
      <c r="A868">
        <v>431</v>
      </c>
      <c r="B868">
        <v>2089</v>
      </c>
      <c r="C868" t="s">
        <v>1414</v>
      </c>
      <c r="D868" t="s">
        <v>1415</v>
      </c>
      <c r="E868" t="s">
        <v>99</v>
      </c>
      <c r="F868" t="s">
        <v>1416</v>
      </c>
      <c r="G868" t="str">
        <f>"200802007889"</f>
        <v>200802007889</v>
      </c>
      <c r="H868" t="s">
        <v>622</v>
      </c>
      <c r="I868">
        <v>0</v>
      </c>
      <c r="J868">
        <v>70</v>
      </c>
      <c r="K868">
        <v>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84</v>
      </c>
      <c r="S868">
        <v>588</v>
      </c>
      <c r="T868">
        <v>0</v>
      </c>
      <c r="V868">
        <v>0</v>
      </c>
      <c r="W868" t="s">
        <v>1417</v>
      </c>
    </row>
    <row r="869" spans="1:23" x14ac:dyDescent="0.25">
      <c r="H869">
        <v>703</v>
      </c>
    </row>
    <row r="870" spans="1:23" x14ac:dyDescent="0.25">
      <c r="A870">
        <v>432</v>
      </c>
      <c r="B870">
        <v>2099</v>
      </c>
      <c r="C870" t="s">
        <v>1418</v>
      </c>
      <c r="D870" t="s">
        <v>293</v>
      </c>
      <c r="E870" t="s">
        <v>227</v>
      </c>
      <c r="F870" t="s">
        <v>1419</v>
      </c>
      <c r="G870" t="str">
        <f>"201412001617"</f>
        <v>201412001617</v>
      </c>
      <c r="H870" t="s">
        <v>1420</v>
      </c>
      <c r="I870">
        <v>150</v>
      </c>
      <c r="J870">
        <v>30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84</v>
      </c>
      <c r="S870">
        <v>588</v>
      </c>
      <c r="T870">
        <v>0</v>
      </c>
      <c r="V870">
        <v>0</v>
      </c>
      <c r="W870" t="s">
        <v>1417</v>
      </c>
    </row>
    <row r="871" spans="1:23" x14ac:dyDescent="0.25">
      <c r="H871" t="s">
        <v>26</v>
      </c>
    </row>
    <row r="872" spans="1:23" x14ac:dyDescent="0.25">
      <c r="A872">
        <v>433</v>
      </c>
      <c r="B872">
        <v>1775</v>
      </c>
      <c r="C872" t="s">
        <v>1421</v>
      </c>
      <c r="D872" t="s">
        <v>539</v>
      </c>
      <c r="E872" t="s">
        <v>752</v>
      </c>
      <c r="F872" t="s">
        <v>1422</v>
      </c>
      <c r="G872" t="str">
        <f>"201406011039"</f>
        <v>201406011039</v>
      </c>
      <c r="H872" t="s">
        <v>202</v>
      </c>
      <c r="I872">
        <v>0</v>
      </c>
      <c r="J872">
        <v>30</v>
      </c>
      <c r="K872">
        <v>0</v>
      </c>
      <c r="L872">
        <v>0</v>
      </c>
      <c r="M872">
        <v>0</v>
      </c>
      <c r="N872">
        <v>30</v>
      </c>
      <c r="O872">
        <v>0</v>
      </c>
      <c r="P872">
        <v>0</v>
      </c>
      <c r="Q872">
        <v>0</v>
      </c>
      <c r="R872">
        <v>84</v>
      </c>
      <c r="S872">
        <v>588</v>
      </c>
      <c r="T872">
        <v>0</v>
      </c>
      <c r="V872">
        <v>0</v>
      </c>
      <c r="W872" t="s">
        <v>1423</v>
      </c>
    </row>
    <row r="873" spans="1:23" x14ac:dyDescent="0.25">
      <c r="H873" t="s">
        <v>70</v>
      </c>
    </row>
    <row r="874" spans="1:23" x14ac:dyDescent="0.25">
      <c r="A874">
        <v>434</v>
      </c>
      <c r="B874">
        <v>1319</v>
      </c>
      <c r="C874" t="s">
        <v>1424</v>
      </c>
      <c r="D874" t="s">
        <v>28</v>
      </c>
      <c r="E874" t="s">
        <v>478</v>
      </c>
      <c r="F874" t="s">
        <v>1425</v>
      </c>
      <c r="G874" t="str">
        <f>"200804000059"</f>
        <v>200804000059</v>
      </c>
      <c r="H874" t="s">
        <v>363</v>
      </c>
      <c r="I874">
        <v>0</v>
      </c>
      <c r="J874">
        <v>50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84</v>
      </c>
      <c r="S874">
        <v>588</v>
      </c>
      <c r="T874">
        <v>0</v>
      </c>
      <c r="V874">
        <v>0</v>
      </c>
      <c r="W874" t="s">
        <v>1426</v>
      </c>
    </row>
    <row r="875" spans="1:23" x14ac:dyDescent="0.25">
      <c r="H875">
        <v>703</v>
      </c>
    </row>
    <row r="876" spans="1:23" x14ac:dyDescent="0.25">
      <c r="A876">
        <v>435</v>
      </c>
      <c r="B876">
        <v>1846</v>
      </c>
      <c r="C876" t="s">
        <v>1427</v>
      </c>
      <c r="D876" t="s">
        <v>20</v>
      </c>
      <c r="E876" t="s">
        <v>105</v>
      </c>
      <c r="F876" t="s">
        <v>1428</v>
      </c>
      <c r="G876" t="str">
        <f>"00226001"</f>
        <v>00226001</v>
      </c>
      <c r="H876" t="s">
        <v>1017</v>
      </c>
      <c r="I876">
        <v>150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84</v>
      </c>
      <c r="S876">
        <v>588</v>
      </c>
      <c r="T876">
        <v>0</v>
      </c>
      <c r="V876">
        <v>2</v>
      </c>
      <c r="W876" t="s">
        <v>1429</v>
      </c>
    </row>
    <row r="877" spans="1:23" x14ac:dyDescent="0.25">
      <c r="H877">
        <v>703</v>
      </c>
    </row>
    <row r="878" spans="1:23" x14ac:dyDescent="0.25">
      <c r="A878">
        <v>436</v>
      </c>
      <c r="B878">
        <v>1262</v>
      </c>
      <c r="C878" t="s">
        <v>1430</v>
      </c>
      <c r="D878" t="s">
        <v>523</v>
      </c>
      <c r="E878" t="s">
        <v>592</v>
      </c>
      <c r="F878" t="s">
        <v>1431</v>
      </c>
      <c r="G878" t="str">
        <f>"00228996"</f>
        <v>00228996</v>
      </c>
      <c r="H878" t="s">
        <v>1017</v>
      </c>
      <c r="I878">
        <v>150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84</v>
      </c>
      <c r="S878">
        <v>588</v>
      </c>
      <c r="T878">
        <v>0</v>
      </c>
      <c r="V878">
        <v>0</v>
      </c>
      <c r="W878" t="s">
        <v>1429</v>
      </c>
    </row>
    <row r="879" spans="1:23" x14ac:dyDescent="0.25">
      <c r="H879">
        <v>703</v>
      </c>
    </row>
    <row r="880" spans="1:23" x14ac:dyDescent="0.25">
      <c r="A880">
        <v>437</v>
      </c>
      <c r="B880">
        <v>1781</v>
      </c>
      <c r="C880" t="s">
        <v>1432</v>
      </c>
      <c r="D880" t="s">
        <v>21</v>
      </c>
      <c r="E880" t="s">
        <v>654</v>
      </c>
      <c r="F880" t="s">
        <v>1433</v>
      </c>
      <c r="G880" t="str">
        <f>"201402001367"</f>
        <v>201402001367</v>
      </c>
      <c r="H880">
        <v>1012</v>
      </c>
      <c r="I880">
        <v>0</v>
      </c>
      <c r="J880">
        <v>30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84</v>
      </c>
      <c r="S880">
        <v>588</v>
      </c>
      <c r="T880">
        <v>0</v>
      </c>
      <c r="V880">
        <v>0</v>
      </c>
      <c r="W880">
        <v>1630</v>
      </c>
    </row>
    <row r="881" spans="1:23" x14ac:dyDescent="0.25">
      <c r="H881" t="s">
        <v>70</v>
      </c>
    </row>
    <row r="882" spans="1:23" x14ac:dyDescent="0.25">
      <c r="A882">
        <v>438</v>
      </c>
      <c r="B882">
        <v>2283</v>
      </c>
      <c r="C882" t="s">
        <v>1434</v>
      </c>
      <c r="D882" t="s">
        <v>15</v>
      </c>
      <c r="E882" t="s">
        <v>109</v>
      </c>
      <c r="F882" t="s">
        <v>1435</v>
      </c>
      <c r="G882" t="str">
        <f>"00109482"</f>
        <v>00109482</v>
      </c>
      <c r="H882">
        <v>891</v>
      </c>
      <c r="I882">
        <v>150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84</v>
      </c>
      <c r="S882">
        <v>588</v>
      </c>
      <c r="T882">
        <v>0</v>
      </c>
      <c r="V882">
        <v>1</v>
      </c>
      <c r="W882">
        <v>1629</v>
      </c>
    </row>
    <row r="883" spans="1:23" x14ac:dyDescent="0.25">
      <c r="H883">
        <v>703</v>
      </c>
    </row>
    <row r="884" spans="1:23" x14ac:dyDescent="0.25">
      <c r="A884">
        <v>439</v>
      </c>
      <c r="B884">
        <v>2326</v>
      </c>
      <c r="C884" t="s">
        <v>1436</v>
      </c>
      <c r="D884" t="s">
        <v>46</v>
      </c>
      <c r="E884" t="s">
        <v>53</v>
      </c>
      <c r="F884" t="s">
        <v>1437</v>
      </c>
      <c r="G884" t="str">
        <f>"00157893"</f>
        <v>00157893</v>
      </c>
      <c r="H884" t="s">
        <v>531</v>
      </c>
      <c r="I884">
        <v>0</v>
      </c>
      <c r="J884">
        <v>70</v>
      </c>
      <c r="K884">
        <v>30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84</v>
      </c>
      <c r="S884">
        <v>588</v>
      </c>
      <c r="T884">
        <v>0</v>
      </c>
      <c r="V884">
        <v>0</v>
      </c>
      <c r="W884" t="s">
        <v>1438</v>
      </c>
    </row>
    <row r="885" spans="1:23" x14ac:dyDescent="0.25">
      <c r="H885" t="s">
        <v>70</v>
      </c>
    </row>
    <row r="886" spans="1:23" x14ac:dyDescent="0.25">
      <c r="A886">
        <v>440</v>
      </c>
      <c r="B886">
        <v>2352</v>
      </c>
      <c r="C886" t="s">
        <v>1439</v>
      </c>
      <c r="D886" t="s">
        <v>99</v>
      </c>
      <c r="E886" t="s">
        <v>1440</v>
      </c>
      <c r="F886" t="s">
        <v>1441</v>
      </c>
      <c r="G886" t="str">
        <f>"00142196"</f>
        <v>00142196</v>
      </c>
      <c r="H886">
        <v>990</v>
      </c>
      <c r="I886">
        <v>0</v>
      </c>
      <c r="J886">
        <v>50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84</v>
      </c>
      <c r="S886">
        <v>588</v>
      </c>
      <c r="T886">
        <v>0</v>
      </c>
      <c r="V886">
        <v>1</v>
      </c>
      <c r="W886">
        <v>1628</v>
      </c>
    </row>
    <row r="887" spans="1:23" x14ac:dyDescent="0.25">
      <c r="H887">
        <v>703</v>
      </c>
    </row>
    <row r="888" spans="1:23" x14ac:dyDescent="0.25">
      <c r="A888">
        <v>441</v>
      </c>
      <c r="B888">
        <v>1568</v>
      </c>
      <c r="C888" t="s">
        <v>1442</v>
      </c>
      <c r="D888" t="s">
        <v>46</v>
      </c>
      <c r="E888" t="s">
        <v>1443</v>
      </c>
      <c r="F888" t="s">
        <v>1444</v>
      </c>
      <c r="G888" t="str">
        <f>"200712001301"</f>
        <v>200712001301</v>
      </c>
      <c r="H888">
        <v>990</v>
      </c>
      <c r="I888">
        <v>0</v>
      </c>
      <c r="J888">
        <v>50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84</v>
      </c>
      <c r="S888">
        <v>588</v>
      </c>
      <c r="T888">
        <v>0</v>
      </c>
      <c r="V888">
        <v>0</v>
      </c>
      <c r="W888">
        <v>1628</v>
      </c>
    </row>
    <row r="889" spans="1:23" x14ac:dyDescent="0.25">
      <c r="H889">
        <v>703</v>
      </c>
    </row>
    <row r="890" spans="1:23" x14ac:dyDescent="0.25">
      <c r="A890">
        <v>442</v>
      </c>
      <c r="B890">
        <v>768</v>
      </c>
      <c r="C890" t="s">
        <v>1445</v>
      </c>
      <c r="D890" t="s">
        <v>166</v>
      </c>
      <c r="E890" t="s">
        <v>53</v>
      </c>
      <c r="F890" t="s">
        <v>1446</v>
      </c>
      <c r="G890" t="str">
        <f>"00141214"</f>
        <v>00141214</v>
      </c>
      <c r="H890" t="s">
        <v>570</v>
      </c>
      <c r="I890">
        <v>0</v>
      </c>
      <c r="J890">
        <v>30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84</v>
      </c>
      <c r="S890">
        <v>588</v>
      </c>
      <c r="T890">
        <v>0</v>
      </c>
      <c r="V890">
        <v>0</v>
      </c>
      <c r="W890" t="s">
        <v>1447</v>
      </c>
    </row>
    <row r="891" spans="1:23" x14ac:dyDescent="0.25">
      <c r="H891">
        <v>703</v>
      </c>
    </row>
    <row r="892" spans="1:23" x14ac:dyDescent="0.25">
      <c r="A892">
        <v>443</v>
      </c>
      <c r="B892">
        <v>1866</v>
      </c>
      <c r="C892" t="s">
        <v>1448</v>
      </c>
      <c r="D892" t="s">
        <v>273</v>
      </c>
      <c r="E892" t="s">
        <v>105</v>
      </c>
      <c r="F892" t="s">
        <v>1449</v>
      </c>
      <c r="G892" t="str">
        <f>"00146712"</f>
        <v>00146712</v>
      </c>
      <c r="H892" t="s">
        <v>570</v>
      </c>
      <c r="I892">
        <v>0</v>
      </c>
      <c r="J892">
        <v>30</v>
      </c>
      <c r="K892">
        <v>0</v>
      </c>
      <c r="L892">
        <v>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84</v>
      </c>
      <c r="S892">
        <v>588</v>
      </c>
      <c r="T892">
        <v>0</v>
      </c>
      <c r="V892">
        <v>0</v>
      </c>
      <c r="W892" t="s">
        <v>1447</v>
      </c>
    </row>
    <row r="893" spans="1:23" x14ac:dyDescent="0.25">
      <c r="H893" t="s">
        <v>26</v>
      </c>
    </row>
    <row r="894" spans="1:23" x14ac:dyDescent="0.25">
      <c r="A894">
        <v>444</v>
      </c>
      <c r="B894">
        <v>439</v>
      </c>
      <c r="C894" t="s">
        <v>1450</v>
      </c>
      <c r="D894" t="s">
        <v>20</v>
      </c>
      <c r="E894" t="s">
        <v>105</v>
      </c>
      <c r="F894" t="s">
        <v>1451</v>
      </c>
      <c r="G894" t="str">
        <f>"00147880"</f>
        <v>00147880</v>
      </c>
      <c r="H894" t="s">
        <v>281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84</v>
      </c>
      <c r="S894">
        <v>588</v>
      </c>
      <c r="T894">
        <v>0</v>
      </c>
      <c r="V894">
        <v>1</v>
      </c>
      <c r="W894" t="s">
        <v>1452</v>
      </c>
    </row>
    <row r="895" spans="1:23" x14ac:dyDescent="0.25">
      <c r="H895">
        <v>703</v>
      </c>
    </row>
    <row r="896" spans="1:23" x14ac:dyDescent="0.25">
      <c r="A896">
        <v>445</v>
      </c>
      <c r="B896">
        <v>333</v>
      </c>
      <c r="C896" t="s">
        <v>1453</v>
      </c>
      <c r="D896" t="s">
        <v>302</v>
      </c>
      <c r="E896" t="s">
        <v>105</v>
      </c>
      <c r="F896" t="s">
        <v>1454</v>
      </c>
      <c r="G896" t="str">
        <f>"201602000194"</f>
        <v>201602000194</v>
      </c>
      <c r="H896" t="s">
        <v>281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84</v>
      </c>
      <c r="S896">
        <v>588</v>
      </c>
      <c r="T896">
        <v>0</v>
      </c>
      <c r="V896">
        <v>0</v>
      </c>
      <c r="W896" t="s">
        <v>1452</v>
      </c>
    </row>
    <row r="897" spans="1:23" x14ac:dyDescent="0.25">
      <c r="H897" t="s">
        <v>70</v>
      </c>
    </row>
    <row r="898" spans="1:23" x14ac:dyDescent="0.25">
      <c r="A898">
        <v>446</v>
      </c>
      <c r="B898">
        <v>2963</v>
      </c>
      <c r="C898" t="s">
        <v>1455</v>
      </c>
      <c r="D898" t="s">
        <v>406</v>
      </c>
      <c r="E898" t="s">
        <v>91</v>
      </c>
      <c r="F898" t="s">
        <v>1456</v>
      </c>
      <c r="G898" t="str">
        <f>"00171815"</f>
        <v>00171815</v>
      </c>
      <c r="H898">
        <v>858</v>
      </c>
      <c r="I898">
        <v>150</v>
      </c>
      <c r="J898">
        <v>30</v>
      </c>
      <c r="K898">
        <v>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84</v>
      </c>
      <c r="S898">
        <v>588</v>
      </c>
      <c r="T898">
        <v>0</v>
      </c>
      <c r="V898">
        <v>1</v>
      </c>
      <c r="W898">
        <v>1626</v>
      </c>
    </row>
    <row r="899" spans="1:23" x14ac:dyDescent="0.25">
      <c r="H899">
        <v>703</v>
      </c>
    </row>
    <row r="900" spans="1:23" x14ac:dyDescent="0.25">
      <c r="A900">
        <v>447</v>
      </c>
      <c r="B900">
        <v>1770</v>
      </c>
      <c r="C900" t="s">
        <v>1457</v>
      </c>
      <c r="D900" t="s">
        <v>1144</v>
      </c>
      <c r="E900" t="s">
        <v>109</v>
      </c>
      <c r="F900" t="s">
        <v>1458</v>
      </c>
      <c r="G900" t="str">
        <f>"00033084"</f>
        <v>00033084</v>
      </c>
      <c r="H900" t="s">
        <v>978</v>
      </c>
      <c r="I900">
        <v>150</v>
      </c>
      <c r="J900">
        <v>0</v>
      </c>
      <c r="K900">
        <v>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84</v>
      </c>
      <c r="S900">
        <v>588</v>
      </c>
      <c r="T900">
        <v>0</v>
      </c>
      <c r="V900">
        <v>0</v>
      </c>
      <c r="W900" t="s">
        <v>1459</v>
      </c>
    </row>
    <row r="901" spans="1:23" x14ac:dyDescent="0.25">
      <c r="H901">
        <v>703</v>
      </c>
    </row>
    <row r="902" spans="1:23" x14ac:dyDescent="0.25">
      <c r="A902">
        <v>448</v>
      </c>
      <c r="B902">
        <v>254</v>
      </c>
      <c r="C902" t="s">
        <v>1460</v>
      </c>
      <c r="D902" t="s">
        <v>140</v>
      </c>
      <c r="E902" t="s">
        <v>53</v>
      </c>
      <c r="F902" t="s">
        <v>1461</v>
      </c>
      <c r="G902" t="str">
        <f>"200811000876"</f>
        <v>200811000876</v>
      </c>
      <c r="H902" t="s">
        <v>142</v>
      </c>
      <c r="I902">
        <v>0</v>
      </c>
      <c r="J902">
        <v>30</v>
      </c>
      <c r="K902">
        <v>0</v>
      </c>
      <c r="L902">
        <v>70</v>
      </c>
      <c r="M902">
        <v>30</v>
      </c>
      <c r="N902">
        <v>0</v>
      </c>
      <c r="O902">
        <v>0</v>
      </c>
      <c r="P902">
        <v>0</v>
      </c>
      <c r="Q902">
        <v>0</v>
      </c>
      <c r="R902">
        <v>62</v>
      </c>
      <c r="S902">
        <v>434</v>
      </c>
      <c r="T902">
        <v>0</v>
      </c>
      <c r="V902">
        <v>0</v>
      </c>
      <c r="W902" t="s">
        <v>1462</v>
      </c>
    </row>
    <row r="903" spans="1:23" x14ac:dyDescent="0.25">
      <c r="H903" t="s">
        <v>70</v>
      </c>
    </row>
    <row r="904" spans="1:23" x14ac:dyDescent="0.25">
      <c r="A904">
        <v>449</v>
      </c>
      <c r="B904">
        <v>820</v>
      </c>
      <c r="C904" t="s">
        <v>1463</v>
      </c>
      <c r="D904" t="s">
        <v>112</v>
      </c>
      <c r="E904" t="s">
        <v>109</v>
      </c>
      <c r="F904" t="s">
        <v>1464</v>
      </c>
      <c r="G904" t="str">
        <f>"201409006225"</f>
        <v>201409006225</v>
      </c>
      <c r="H904" t="s">
        <v>237</v>
      </c>
      <c r="I904">
        <v>0</v>
      </c>
      <c r="J904">
        <v>30</v>
      </c>
      <c r="K904">
        <v>0</v>
      </c>
      <c r="L904">
        <v>0</v>
      </c>
      <c r="M904">
        <v>0</v>
      </c>
      <c r="N904">
        <v>0</v>
      </c>
      <c r="O904">
        <v>0</v>
      </c>
      <c r="P904">
        <v>0</v>
      </c>
      <c r="Q904">
        <v>0</v>
      </c>
      <c r="R904">
        <v>84</v>
      </c>
      <c r="S904">
        <v>588</v>
      </c>
      <c r="T904">
        <v>0</v>
      </c>
      <c r="V904">
        <v>0</v>
      </c>
      <c r="W904" t="s">
        <v>1465</v>
      </c>
    </row>
    <row r="905" spans="1:23" x14ac:dyDescent="0.25">
      <c r="H905" t="s">
        <v>26</v>
      </c>
    </row>
    <row r="906" spans="1:23" x14ac:dyDescent="0.25">
      <c r="A906">
        <v>450</v>
      </c>
      <c r="B906">
        <v>1563</v>
      </c>
      <c r="C906" t="s">
        <v>1466</v>
      </c>
      <c r="D906" t="s">
        <v>344</v>
      </c>
      <c r="E906" t="s">
        <v>76</v>
      </c>
      <c r="F906" t="s">
        <v>1467</v>
      </c>
      <c r="G906" t="str">
        <f>"00229543"</f>
        <v>00229543</v>
      </c>
      <c r="H906" t="s">
        <v>1059</v>
      </c>
      <c r="I906">
        <v>0</v>
      </c>
      <c r="J906">
        <v>0</v>
      </c>
      <c r="K906">
        <v>0</v>
      </c>
      <c r="L906">
        <v>0</v>
      </c>
      <c r="M906">
        <v>0</v>
      </c>
      <c r="N906">
        <v>0</v>
      </c>
      <c r="O906">
        <v>0</v>
      </c>
      <c r="P906">
        <v>0</v>
      </c>
      <c r="Q906">
        <v>0</v>
      </c>
      <c r="R906">
        <v>84</v>
      </c>
      <c r="S906">
        <v>588</v>
      </c>
      <c r="T906">
        <v>0</v>
      </c>
      <c r="V906">
        <v>0</v>
      </c>
      <c r="W906" t="s">
        <v>1468</v>
      </c>
    </row>
    <row r="907" spans="1:23" x14ac:dyDescent="0.25">
      <c r="H907">
        <v>703</v>
      </c>
    </row>
    <row r="908" spans="1:23" x14ac:dyDescent="0.25">
      <c r="A908">
        <v>451</v>
      </c>
      <c r="B908">
        <v>304</v>
      </c>
      <c r="C908" t="s">
        <v>1469</v>
      </c>
      <c r="D908" t="s">
        <v>248</v>
      </c>
      <c r="E908" t="s">
        <v>350</v>
      </c>
      <c r="F908" t="s">
        <v>1470</v>
      </c>
      <c r="G908" t="str">
        <f>"200801007228"</f>
        <v>200801007228</v>
      </c>
      <c r="H908">
        <v>990</v>
      </c>
      <c r="I908">
        <v>0</v>
      </c>
      <c r="J908">
        <v>70</v>
      </c>
      <c r="K908">
        <v>30</v>
      </c>
      <c r="L908">
        <v>0</v>
      </c>
      <c r="M908">
        <v>0</v>
      </c>
      <c r="N908">
        <v>30</v>
      </c>
      <c r="O908">
        <v>0</v>
      </c>
      <c r="P908">
        <v>0</v>
      </c>
      <c r="Q908">
        <v>0</v>
      </c>
      <c r="R908">
        <v>72</v>
      </c>
      <c r="S908">
        <v>504</v>
      </c>
      <c r="T908">
        <v>0</v>
      </c>
      <c r="V908">
        <v>2</v>
      </c>
      <c r="W908">
        <v>1624</v>
      </c>
    </row>
    <row r="909" spans="1:23" x14ac:dyDescent="0.25">
      <c r="H909" t="s">
        <v>70</v>
      </c>
    </row>
    <row r="910" spans="1:23" x14ac:dyDescent="0.25">
      <c r="A910">
        <v>452</v>
      </c>
      <c r="B910">
        <v>3142</v>
      </c>
      <c r="C910" t="s">
        <v>1471</v>
      </c>
      <c r="D910" t="s">
        <v>1472</v>
      </c>
      <c r="E910" t="s">
        <v>15</v>
      </c>
      <c r="F910" t="s">
        <v>1473</v>
      </c>
      <c r="G910" t="str">
        <f>"00127288"</f>
        <v>00127288</v>
      </c>
      <c r="H910" t="s">
        <v>17</v>
      </c>
      <c r="I910">
        <v>0</v>
      </c>
      <c r="J910">
        <v>30</v>
      </c>
      <c r="K910">
        <v>50</v>
      </c>
      <c r="L910">
        <v>50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57</v>
      </c>
      <c r="S910">
        <v>399</v>
      </c>
      <c r="T910">
        <v>0</v>
      </c>
      <c r="V910">
        <v>2</v>
      </c>
      <c r="W910" t="s">
        <v>1474</v>
      </c>
    </row>
    <row r="911" spans="1:23" x14ac:dyDescent="0.25">
      <c r="H911" t="s">
        <v>70</v>
      </c>
    </row>
    <row r="912" spans="1:23" x14ac:dyDescent="0.25">
      <c r="A912">
        <v>453</v>
      </c>
      <c r="B912">
        <v>3147</v>
      </c>
      <c r="C912" t="s">
        <v>1475</v>
      </c>
      <c r="D912" t="s">
        <v>1476</v>
      </c>
      <c r="E912" t="s">
        <v>53</v>
      </c>
      <c r="F912" t="s">
        <v>1477</v>
      </c>
      <c r="G912" t="str">
        <f>"201402009119"</f>
        <v>201402009119</v>
      </c>
      <c r="H912">
        <v>935</v>
      </c>
      <c r="I912">
        <v>0</v>
      </c>
      <c r="J912">
        <v>70</v>
      </c>
      <c r="K912">
        <v>0</v>
      </c>
      <c r="L912">
        <v>0</v>
      </c>
      <c r="M912">
        <v>30</v>
      </c>
      <c r="N912">
        <v>0</v>
      </c>
      <c r="O912">
        <v>0</v>
      </c>
      <c r="P912">
        <v>0</v>
      </c>
      <c r="Q912">
        <v>0</v>
      </c>
      <c r="R912">
        <v>84</v>
      </c>
      <c r="S912">
        <v>588</v>
      </c>
      <c r="T912">
        <v>0</v>
      </c>
      <c r="V912">
        <v>1</v>
      </c>
      <c r="W912">
        <v>1623</v>
      </c>
    </row>
    <row r="913" spans="1:23" x14ac:dyDescent="0.25">
      <c r="H913" t="s">
        <v>70</v>
      </c>
    </row>
    <row r="914" spans="1:23" x14ac:dyDescent="0.25">
      <c r="A914">
        <v>454</v>
      </c>
      <c r="B914">
        <v>240</v>
      </c>
      <c r="C914" t="s">
        <v>1478</v>
      </c>
      <c r="D914" t="s">
        <v>32</v>
      </c>
      <c r="E914" t="s">
        <v>1479</v>
      </c>
      <c r="F914" t="s">
        <v>1480</v>
      </c>
      <c r="G914" t="str">
        <f>"201406008771"</f>
        <v>201406008771</v>
      </c>
      <c r="H914" t="s">
        <v>202</v>
      </c>
      <c r="I914">
        <v>0</v>
      </c>
      <c r="J914">
        <v>50</v>
      </c>
      <c r="K914">
        <v>0</v>
      </c>
      <c r="L914">
        <v>0</v>
      </c>
      <c r="M914">
        <v>0</v>
      </c>
      <c r="N914">
        <v>0</v>
      </c>
      <c r="O914">
        <v>0</v>
      </c>
      <c r="P914">
        <v>0</v>
      </c>
      <c r="Q914">
        <v>0</v>
      </c>
      <c r="R914">
        <v>84</v>
      </c>
      <c r="S914">
        <v>588</v>
      </c>
      <c r="T914">
        <v>0</v>
      </c>
      <c r="V914">
        <v>0</v>
      </c>
      <c r="W914" t="s">
        <v>1481</v>
      </c>
    </row>
    <row r="915" spans="1:23" x14ac:dyDescent="0.25">
      <c r="H915">
        <v>703</v>
      </c>
    </row>
    <row r="916" spans="1:23" x14ac:dyDescent="0.25">
      <c r="A916">
        <v>455</v>
      </c>
      <c r="B916">
        <v>2382</v>
      </c>
      <c r="C916" t="s">
        <v>1482</v>
      </c>
      <c r="D916" t="s">
        <v>1483</v>
      </c>
      <c r="E916" t="s">
        <v>68</v>
      </c>
      <c r="F916" t="s">
        <v>1484</v>
      </c>
      <c r="G916" t="str">
        <f>"00220608"</f>
        <v>00220608</v>
      </c>
      <c r="H916" t="s">
        <v>1241</v>
      </c>
      <c r="I916">
        <v>150</v>
      </c>
      <c r="J916">
        <v>0</v>
      </c>
      <c r="K916">
        <v>0</v>
      </c>
      <c r="L916">
        <v>0</v>
      </c>
      <c r="M916">
        <v>0</v>
      </c>
      <c r="N916">
        <v>0</v>
      </c>
      <c r="O916">
        <v>0</v>
      </c>
      <c r="P916">
        <v>0</v>
      </c>
      <c r="Q916">
        <v>0</v>
      </c>
      <c r="R916">
        <v>84</v>
      </c>
      <c r="S916">
        <v>588</v>
      </c>
      <c r="T916">
        <v>0</v>
      </c>
      <c r="V916">
        <v>0</v>
      </c>
      <c r="W916" t="s">
        <v>1485</v>
      </c>
    </row>
    <row r="917" spans="1:23" x14ac:dyDescent="0.25">
      <c r="H917">
        <v>703</v>
      </c>
    </row>
    <row r="918" spans="1:23" x14ac:dyDescent="0.25">
      <c r="A918">
        <v>456</v>
      </c>
      <c r="B918">
        <v>1402</v>
      </c>
      <c r="C918" t="s">
        <v>1486</v>
      </c>
      <c r="D918" t="s">
        <v>382</v>
      </c>
      <c r="E918" t="s">
        <v>53</v>
      </c>
      <c r="F918" t="s">
        <v>1487</v>
      </c>
      <c r="G918" t="str">
        <f>"201410002144"</f>
        <v>201410002144</v>
      </c>
      <c r="H918" t="s">
        <v>270</v>
      </c>
      <c r="I918">
        <v>0</v>
      </c>
      <c r="J918">
        <v>30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84</v>
      </c>
      <c r="S918">
        <v>588</v>
      </c>
      <c r="T918">
        <v>0</v>
      </c>
      <c r="V918">
        <v>0</v>
      </c>
      <c r="W918" t="s">
        <v>1488</v>
      </c>
    </row>
    <row r="919" spans="1:23" x14ac:dyDescent="0.25">
      <c r="H919" t="s">
        <v>26</v>
      </c>
    </row>
    <row r="920" spans="1:23" x14ac:dyDescent="0.25">
      <c r="A920">
        <v>457</v>
      </c>
      <c r="B920">
        <v>329</v>
      </c>
      <c r="C920" t="s">
        <v>1489</v>
      </c>
      <c r="D920" t="s">
        <v>273</v>
      </c>
      <c r="E920" t="s">
        <v>79</v>
      </c>
      <c r="F920" t="s">
        <v>1490</v>
      </c>
      <c r="G920" t="str">
        <f>"201405002317"</f>
        <v>201405002317</v>
      </c>
      <c r="H920" t="s">
        <v>270</v>
      </c>
      <c r="I920">
        <v>0</v>
      </c>
      <c r="J920">
        <v>30</v>
      </c>
      <c r="K920">
        <v>0</v>
      </c>
      <c r="L920">
        <v>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84</v>
      </c>
      <c r="S920">
        <v>588</v>
      </c>
      <c r="T920">
        <v>0</v>
      </c>
      <c r="V920">
        <v>0</v>
      </c>
      <c r="W920" t="s">
        <v>1488</v>
      </c>
    </row>
    <row r="921" spans="1:23" x14ac:dyDescent="0.25">
      <c r="H921">
        <v>703</v>
      </c>
    </row>
    <row r="922" spans="1:23" x14ac:dyDescent="0.25">
      <c r="A922">
        <v>458</v>
      </c>
      <c r="B922">
        <v>57</v>
      </c>
      <c r="C922" t="s">
        <v>1491</v>
      </c>
      <c r="D922" t="s">
        <v>258</v>
      </c>
      <c r="E922" t="s">
        <v>62</v>
      </c>
      <c r="F922" t="s">
        <v>1492</v>
      </c>
      <c r="G922" t="str">
        <f>"200801010650"</f>
        <v>200801010650</v>
      </c>
      <c r="H922" t="s">
        <v>270</v>
      </c>
      <c r="I922">
        <v>0</v>
      </c>
      <c r="J922">
        <v>30</v>
      </c>
      <c r="K922">
        <v>0</v>
      </c>
      <c r="L922">
        <v>0</v>
      </c>
      <c r="M922">
        <v>0</v>
      </c>
      <c r="N922">
        <v>0</v>
      </c>
      <c r="O922">
        <v>0</v>
      </c>
      <c r="P922">
        <v>0</v>
      </c>
      <c r="Q922">
        <v>0</v>
      </c>
      <c r="R922">
        <v>84</v>
      </c>
      <c r="S922">
        <v>588</v>
      </c>
      <c r="T922">
        <v>0</v>
      </c>
      <c r="V922">
        <v>0</v>
      </c>
      <c r="W922" t="s">
        <v>1488</v>
      </c>
    </row>
    <row r="923" spans="1:23" x14ac:dyDescent="0.25">
      <c r="H923" t="s">
        <v>26</v>
      </c>
    </row>
    <row r="924" spans="1:23" x14ac:dyDescent="0.25">
      <c r="A924">
        <v>459</v>
      </c>
      <c r="B924">
        <v>1471</v>
      </c>
      <c r="C924" t="s">
        <v>1493</v>
      </c>
      <c r="D924" t="s">
        <v>610</v>
      </c>
      <c r="E924" t="s">
        <v>15</v>
      </c>
      <c r="F924" t="s">
        <v>1494</v>
      </c>
      <c r="G924" t="str">
        <f>"200712005392"</f>
        <v>200712005392</v>
      </c>
      <c r="H924" t="s">
        <v>270</v>
      </c>
      <c r="I924">
        <v>0</v>
      </c>
      <c r="J924">
        <v>30</v>
      </c>
      <c r="K924">
        <v>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84</v>
      </c>
      <c r="S924">
        <v>588</v>
      </c>
      <c r="T924">
        <v>0</v>
      </c>
      <c r="V924">
        <v>3</v>
      </c>
      <c r="W924" t="s">
        <v>1488</v>
      </c>
    </row>
    <row r="925" spans="1:23" x14ac:dyDescent="0.25">
      <c r="H925">
        <v>703</v>
      </c>
    </row>
    <row r="926" spans="1:23" x14ac:dyDescent="0.25">
      <c r="A926">
        <v>460</v>
      </c>
      <c r="B926">
        <v>2948</v>
      </c>
      <c r="C926" t="s">
        <v>1495</v>
      </c>
      <c r="D926" t="s">
        <v>248</v>
      </c>
      <c r="E926" t="s">
        <v>109</v>
      </c>
      <c r="F926" t="s">
        <v>1496</v>
      </c>
      <c r="G926" t="str">
        <f>"201511006706"</f>
        <v>201511006706</v>
      </c>
      <c r="H926">
        <v>1034</v>
      </c>
      <c r="I926">
        <v>0</v>
      </c>
      <c r="J926">
        <v>0</v>
      </c>
      <c r="K926">
        <v>0</v>
      </c>
      <c r="L926">
        <v>0</v>
      </c>
      <c r="M926">
        <v>0</v>
      </c>
      <c r="N926">
        <v>0</v>
      </c>
      <c r="O926">
        <v>0</v>
      </c>
      <c r="P926">
        <v>0</v>
      </c>
      <c r="Q926">
        <v>0</v>
      </c>
      <c r="R926">
        <v>84</v>
      </c>
      <c r="S926">
        <v>588</v>
      </c>
      <c r="T926">
        <v>0</v>
      </c>
      <c r="V926">
        <v>0</v>
      </c>
      <c r="W926">
        <v>1622</v>
      </c>
    </row>
    <row r="927" spans="1:23" x14ac:dyDescent="0.25">
      <c r="H927" t="s">
        <v>26</v>
      </c>
    </row>
    <row r="928" spans="1:23" x14ac:dyDescent="0.25">
      <c r="A928">
        <v>461</v>
      </c>
      <c r="B928">
        <v>3132</v>
      </c>
      <c r="C928" t="s">
        <v>1497</v>
      </c>
      <c r="D928" t="s">
        <v>112</v>
      </c>
      <c r="E928" t="s">
        <v>1498</v>
      </c>
      <c r="F928" t="s">
        <v>1499</v>
      </c>
      <c r="G928" t="str">
        <f>"201511042951"</f>
        <v>201511042951</v>
      </c>
      <c r="H928">
        <v>1023</v>
      </c>
      <c r="I928">
        <v>150</v>
      </c>
      <c r="J928">
        <v>70</v>
      </c>
      <c r="K928">
        <v>0</v>
      </c>
      <c r="L928">
        <v>50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47</v>
      </c>
      <c r="S928">
        <v>329</v>
      </c>
      <c r="T928">
        <v>0</v>
      </c>
      <c r="V928">
        <v>0</v>
      </c>
      <c r="W928">
        <v>1622</v>
      </c>
    </row>
    <row r="929" spans="1:23" x14ac:dyDescent="0.25">
      <c r="H929" t="s">
        <v>70</v>
      </c>
    </row>
    <row r="930" spans="1:23" x14ac:dyDescent="0.25">
      <c r="A930">
        <v>462</v>
      </c>
      <c r="B930">
        <v>1110</v>
      </c>
      <c r="C930" t="s">
        <v>1500</v>
      </c>
      <c r="D930" t="s">
        <v>1501</v>
      </c>
      <c r="E930" t="s">
        <v>109</v>
      </c>
      <c r="F930" t="s">
        <v>1502</v>
      </c>
      <c r="G930" t="str">
        <f>"200802003339"</f>
        <v>200802003339</v>
      </c>
      <c r="H930" t="s">
        <v>1503</v>
      </c>
      <c r="I930">
        <v>0</v>
      </c>
      <c r="J930">
        <v>30</v>
      </c>
      <c r="K930">
        <v>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84</v>
      </c>
      <c r="S930">
        <v>588</v>
      </c>
      <c r="T930">
        <v>0</v>
      </c>
      <c r="V930">
        <v>1</v>
      </c>
      <c r="W930" t="s">
        <v>1504</v>
      </c>
    </row>
    <row r="931" spans="1:23" x14ac:dyDescent="0.25">
      <c r="H931">
        <v>703</v>
      </c>
    </row>
    <row r="932" spans="1:23" x14ac:dyDescent="0.25">
      <c r="A932">
        <v>463</v>
      </c>
      <c r="B932">
        <v>2932</v>
      </c>
      <c r="C932" t="s">
        <v>1396</v>
      </c>
      <c r="D932" t="s">
        <v>166</v>
      </c>
      <c r="E932" t="s">
        <v>1273</v>
      </c>
      <c r="F932" t="s">
        <v>1505</v>
      </c>
      <c r="G932" t="str">
        <f>"00229566"</f>
        <v>00229566</v>
      </c>
      <c r="H932">
        <v>1001</v>
      </c>
      <c r="I932">
        <v>0</v>
      </c>
      <c r="J932">
        <v>30</v>
      </c>
      <c r="K932">
        <v>0</v>
      </c>
      <c r="L932">
        <v>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84</v>
      </c>
      <c r="S932">
        <v>588</v>
      </c>
      <c r="T932">
        <v>0</v>
      </c>
      <c r="V932">
        <v>0</v>
      </c>
      <c r="W932">
        <v>1619</v>
      </c>
    </row>
    <row r="933" spans="1:23" x14ac:dyDescent="0.25">
      <c r="H933">
        <v>703</v>
      </c>
    </row>
    <row r="934" spans="1:23" x14ac:dyDescent="0.25">
      <c r="A934">
        <v>464</v>
      </c>
      <c r="B934">
        <v>1547</v>
      </c>
      <c r="C934" t="s">
        <v>1506</v>
      </c>
      <c r="D934" t="s">
        <v>219</v>
      </c>
      <c r="E934" t="s">
        <v>15</v>
      </c>
      <c r="F934" t="s">
        <v>1507</v>
      </c>
      <c r="G934" t="str">
        <f>"00121237"</f>
        <v>00121237</v>
      </c>
      <c r="H934">
        <v>1001</v>
      </c>
      <c r="I934">
        <v>0</v>
      </c>
      <c r="J934">
        <v>30</v>
      </c>
      <c r="K934">
        <v>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84</v>
      </c>
      <c r="S934">
        <v>588</v>
      </c>
      <c r="T934">
        <v>0</v>
      </c>
      <c r="V934">
        <v>0</v>
      </c>
      <c r="W934">
        <v>1619</v>
      </c>
    </row>
    <row r="935" spans="1:23" x14ac:dyDescent="0.25">
      <c r="H935">
        <v>703</v>
      </c>
    </row>
    <row r="936" spans="1:23" x14ac:dyDescent="0.25">
      <c r="A936">
        <v>465</v>
      </c>
      <c r="B936">
        <v>1052</v>
      </c>
      <c r="C936" t="s">
        <v>200</v>
      </c>
      <c r="D936" t="s">
        <v>1508</v>
      </c>
      <c r="E936" t="s">
        <v>53</v>
      </c>
      <c r="F936" t="s">
        <v>1509</v>
      </c>
      <c r="G936" t="str">
        <f>"00142015"</f>
        <v>00142015</v>
      </c>
      <c r="H936" t="s">
        <v>137</v>
      </c>
      <c r="I936">
        <v>0</v>
      </c>
      <c r="J936">
        <v>0</v>
      </c>
      <c r="K936">
        <v>0</v>
      </c>
      <c r="L936">
        <v>0</v>
      </c>
      <c r="M936">
        <v>0</v>
      </c>
      <c r="N936">
        <v>0</v>
      </c>
      <c r="O936">
        <v>0</v>
      </c>
      <c r="P936">
        <v>0</v>
      </c>
      <c r="Q936">
        <v>0</v>
      </c>
      <c r="R936">
        <v>78</v>
      </c>
      <c r="S936">
        <v>546</v>
      </c>
      <c r="T936">
        <v>0</v>
      </c>
      <c r="V936">
        <v>0</v>
      </c>
      <c r="W936" t="s">
        <v>1510</v>
      </c>
    </row>
    <row r="937" spans="1:23" x14ac:dyDescent="0.25">
      <c r="H937">
        <v>703</v>
      </c>
    </row>
    <row r="938" spans="1:23" x14ac:dyDescent="0.25">
      <c r="A938">
        <v>466</v>
      </c>
      <c r="B938">
        <v>2562</v>
      </c>
      <c r="C938" t="s">
        <v>1113</v>
      </c>
      <c r="D938" t="s">
        <v>912</v>
      </c>
      <c r="E938" t="s">
        <v>47</v>
      </c>
      <c r="F938" t="s">
        <v>1511</v>
      </c>
      <c r="G938" t="str">
        <f>"201304002532"</f>
        <v>201304002532</v>
      </c>
      <c r="H938" t="s">
        <v>202</v>
      </c>
      <c r="I938">
        <v>0</v>
      </c>
      <c r="J938">
        <v>30</v>
      </c>
      <c r="K938">
        <v>30</v>
      </c>
      <c r="L938">
        <v>0</v>
      </c>
      <c r="M938">
        <v>0</v>
      </c>
      <c r="N938">
        <v>0</v>
      </c>
      <c r="O938">
        <v>0</v>
      </c>
      <c r="P938">
        <v>0</v>
      </c>
      <c r="Q938">
        <v>0</v>
      </c>
      <c r="R938">
        <v>82</v>
      </c>
      <c r="S938">
        <v>574</v>
      </c>
      <c r="T938">
        <v>0</v>
      </c>
      <c r="V938">
        <v>0</v>
      </c>
      <c r="W938" t="s">
        <v>1510</v>
      </c>
    </row>
    <row r="939" spans="1:23" x14ac:dyDescent="0.25">
      <c r="H939" t="s">
        <v>70</v>
      </c>
    </row>
    <row r="940" spans="1:23" x14ac:dyDescent="0.25">
      <c r="A940">
        <v>467</v>
      </c>
      <c r="B940">
        <v>494</v>
      </c>
      <c r="C940" t="s">
        <v>1512</v>
      </c>
      <c r="D940" t="s">
        <v>20</v>
      </c>
      <c r="E940" t="s">
        <v>76</v>
      </c>
      <c r="F940" t="s">
        <v>1513</v>
      </c>
      <c r="G940" t="str">
        <f>"00012767"</f>
        <v>00012767</v>
      </c>
      <c r="H940" t="s">
        <v>1514</v>
      </c>
      <c r="I940">
        <v>150</v>
      </c>
      <c r="J940">
        <v>50</v>
      </c>
      <c r="K940">
        <v>0</v>
      </c>
      <c r="L940">
        <v>0</v>
      </c>
      <c r="M940">
        <v>0</v>
      </c>
      <c r="N940">
        <v>0</v>
      </c>
      <c r="O940">
        <v>0</v>
      </c>
      <c r="P940">
        <v>0</v>
      </c>
      <c r="Q940">
        <v>0</v>
      </c>
      <c r="R940">
        <v>84</v>
      </c>
      <c r="S940">
        <v>588</v>
      </c>
      <c r="T940">
        <v>0</v>
      </c>
      <c r="V940">
        <v>0</v>
      </c>
      <c r="W940" t="s">
        <v>1510</v>
      </c>
    </row>
    <row r="941" spans="1:23" x14ac:dyDescent="0.25">
      <c r="H941">
        <v>703</v>
      </c>
    </row>
    <row r="942" spans="1:23" x14ac:dyDescent="0.25">
      <c r="A942">
        <v>468</v>
      </c>
      <c r="B942">
        <v>1861</v>
      </c>
      <c r="C942" t="s">
        <v>1515</v>
      </c>
      <c r="D942" t="s">
        <v>285</v>
      </c>
      <c r="E942" t="s">
        <v>478</v>
      </c>
      <c r="F942" t="s">
        <v>1516</v>
      </c>
      <c r="G942" t="str">
        <f>"201406011227"</f>
        <v>201406011227</v>
      </c>
      <c r="H942" t="s">
        <v>270</v>
      </c>
      <c r="I942">
        <v>150</v>
      </c>
      <c r="J942">
        <v>30</v>
      </c>
      <c r="K942">
        <v>0</v>
      </c>
      <c r="L942">
        <v>0</v>
      </c>
      <c r="M942">
        <v>0</v>
      </c>
      <c r="N942">
        <v>0</v>
      </c>
      <c r="O942">
        <v>0</v>
      </c>
      <c r="P942">
        <v>0</v>
      </c>
      <c r="Q942">
        <v>0</v>
      </c>
      <c r="R942">
        <v>62</v>
      </c>
      <c r="S942">
        <v>434</v>
      </c>
      <c r="T942">
        <v>0</v>
      </c>
      <c r="V942">
        <v>2</v>
      </c>
      <c r="W942" t="s">
        <v>1517</v>
      </c>
    </row>
    <row r="943" spans="1:23" x14ac:dyDescent="0.25">
      <c r="H943">
        <v>703</v>
      </c>
    </row>
    <row r="944" spans="1:23" x14ac:dyDescent="0.25">
      <c r="A944">
        <v>469</v>
      </c>
      <c r="B944">
        <v>3099</v>
      </c>
      <c r="C944" t="s">
        <v>1518</v>
      </c>
      <c r="D944" t="s">
        <v>58</v>
      </c>
      <c r="E944" t="s">
        <v>227</v>
      </c>
      <c r="F944" t="s">
        <v>1519</v>
      </c>
      <c r="G944" t="str">
        <f>"201402010146"</f>
        <v>201402010146</v>
      </c>
      <c r="H944">
        <v>880</v>
      </c>
      <c r="I944">
        <v>150</v>
      </c>
      <c r="J944">
        <v>0</v>
      </c>
      <c r="K944">
        <v>0</v>
      </c>
      <c r="L944">
        <v>0</v>
      </c>
      <c r="M944">
        <v>0</v>
      </c>
      <c r="N944">
        <v>0</v>
      </c>
      <c r="O944">
        <v>0</v>
      </c>
      <c r="P944">
        <v>0</v>
      </c>
      <c r="Q944">
        <v>0</v>
      </c>
      <c r="R944">
        <v>84</v>
      </c>
      <c r="S944">
        <v>588</v>
      </c>
      <c r="T944">
        <v>0</v>
      </c>
      <c r="V944">
        <v>2</v>
      </c>
      <c r="W944">
        <v>1618</v>
      </c>
    </row>
    <row r="945" spans="1:23" x14ac:dyDescent="0.25">
      <c r="H945">
        <v>703</v>
      </c>
    </row>
    <row r="946" spans="1:23" x14ac:dyDescent="0.25">
      <c r="A946">
        <v>470</v>
      </c>
      <c r="B946">
        <v>477</v>
      </c>
      <c r="C946" t="s">
        <v>1520</v>
      </c>
      <c r="D946" t="s">
        <v>1521</v>
      </c>
      <c r="E946" t="s">
        <v>21</v>
      </c>
      <c r="F946" t="s">
        <v>1522</v>
      </c>
      <c r="G946" t="str">
        <f>"00225901"</f>
        <v>00225901</v>
      </c>
      <c r="H946">
        <v>880</v>
      </c>
      <c r="I946">
        <v>150</v>
      </c>
      <c r="J946">
        <v>0</v>
      </c>
      <c r="K946">
        <v>0</v>
      </c>
      <c r="L946">
        <v>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84</v>
      </c>
      <c r="S946">
        <v>588</v>
      </c>
      <c r="T946">
        <v>0</v>
      </c>
      <c r="V946">
        <v>0</v>
      </c>
      <c r="W946">
        <v>1618</v>
      </c>
    </row>
    <row r="947" spans="1:23" x14ac:dyDescent="0.25">
      <c r="H947">
        <v>703</v>
      </c>
    </row>
    <row r="948" spans="1:23" x14ac:dyDescent="0.25">
      <c r="A948">
        <v>471</v>
      </c>
      <c r="B948">
        <v>2007</v>
      </c>
      <c r="C948" t="s">
        <v>1523</v>
      </c>
      <c r="D948" t="s">
        <v>219</v>
      </c>
      <c r="E948" t="s">
        <v>21</v>
      </c>
      <c r="F948" t="s">
        <v>1524</v>
      </c>
      <c r="G948" t="str">
        <f>"00119168"</f>
        <v>00119168</v>
      </c>
      <c r="H948">
        <v>880</v>
      </c>
      <c r="I948">
        <v>0</v>
      </c>
      <c r="J948">
        <v>70</v>
      </c>
      <c r="K948">
        <v>50</v>
      </c>
      <c r="L948">
        <v>0</v>
      </c>
      <c r="M948">
        <v>0</v>
      </c>
      <c r="N948">
        <v>0</v>
      </c>
      <c r="O948">
        <v>0</v>
      </c>
      <c r="P948">
        <v>30</v>
      </c>
      <c r="Q948">
        <v>0</v>
      </c>
      <c r="R948">
        <v>84</v>
      </c>
      <c r="S948">
        <v>588</v>
      </c>
      <c r="T948">
        <v>0</v>
      </c>
      <c r="V948">
        <v>0</v>
      </c>
      <c r="W948">
        <v>1618</v>
      </c>
    </row>
    <row r="949" spans="1:23" x14ac:dyDescent="0.25">
      <c r="H949" t="s">
        <v>70</v>
      </c>
    </row>
    <row r="950" spans="1:23" x14ac:dyDescent="0.25">
      <c r="A950">
        <v>472</v>
      </c>
      <c r="B950">
        <v>1259</v>
      </c>
      <c r="C950" t="s">
        <v>1525</v>
      </c>
      <c r="D950" t="s">
        <v>112</v>
      </c>
      <c r="E950" t="s">
        <v>1526</v>
      </c>
      <c r="F950" t="s">
        <v>1527</v>
      </c>
      <c r="G950" t="str">
        <f>"00224854"</f>
        <v>00224854</v>
      </c>
      <c r="H950" t="s">
        <v>958</v>
      </c>
      <c r="I950">
        <v>0</v>
      </c>
      <c r="J950">
        <v>0</v>
      </c>
      <c r="K950">
        <v>0</v>
      </c>
      <c r="L950">
        <v>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84</v>
      </c>
      <c r="S950">
        <v>588</v>
      </c>
      <c r="T950">
        <v>0</v>
      </c>
      <c r="V950">
        <v>0</v>
      </c>
      <c r="W950" t="s">
        <v>1528</v>
      </c>
    </row>
    <row r="951" spans="1:23" x14ac:dyDescent="0.25">
      <c r="H951" t="s">
        <v>26</v>
      </c>
    </row>
    <row r="952" spans="1:23" x14ac:dyDescent="0.25">
      <c r="A952">
        <v>473</v>
      </c>
      <c r="B952">
        <v>52</v>
      </c>
      <c r="C952" t="s">
        <v>1529</v>
      </c>
      <c r="D952" t="s">
        <v>140</v>
      </c>
      <c r="E952" t="s">
        <v>1530</v>
      </c>
      <c r="F952" t="s">
        <v>1531</v>
      </c>
      <c r="G952" t="str">
        <f>"201406013781"</f>
        <v>201406013781</v>
      </c>
      <c r="H952" t="s">
        <v>1532</v>
      </c>
      <c r="I952">
        <v>0</v>
      </c>
      <c r="J952">
        <v>50</v>
      </c>
      <c r="K952">
        <v>0</v>
      </c>
      <c r="L952">
        <v>50</v>
      </c>
      <c r="M952">
        <v>0</v>
      </c>
      <c r="N952">
        <v>0</v>
      </c>
      <c r="O952">
        <v>0</v>
      </c>
      <c r="P952">
        <v>0</v>
      </c>
      <c r="Q952">
        <v>0</v>
      </c>
      <c r="R952">
        <v>84</v>
      </c>
      <c r="S952">
        <v>588</v>
      </c>
      <c r="T952">
        <v>0</v>
      </c>
      <c r="V952">
        <v>1</v>
      </c>
      <c r="W952" t="s">
        <v>1533</v>
      </c>
    </row>
    <row r="953" spans="1:23" x14ac:dyDescent="0.25">
      <c r="H953" t="s">
        <v>70</v>
      </c>
    </row>
    <row r="954" spans="1:23" x14ac:dyDescent="0.25">
      <c r="A954">
        <v>474</v>
      </c>
      <c r="B954">
        <v>2634</v>
      </c>
      <c r="C954" t="s">
        <v>1534</v>
      </c>
      <c r="D954" t="s">
        <v>610</v>
      </c>
      <c r="E954" t="s">
        <v>76</v>
      </c>
      <c r="F954" t="s">
        <v>1535</v>
      </c>
      <c r="G954" t="str">
        <f>"00010943"</f>
        <v>00010943</v>
      </c>
      <c r="H954" t="s">
        <v>1536</v>
      </c>
      <c r="I954">
        <v>0</v>
      </c>
      <c r="J954">
        <v>30</v>
      </c>
      <c r="K954">
        <v>0</v>
      </c>
      <c r="L954">
        <v>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84</v>
      </c>
      <c r="S954">
        <v>588</v>
      </c>
      <c r="T954">
        <v>0</v>
      </c>
      <c r="V954">
        <v>0</v>
      </c>
      <c r="W954" t="s">
        <v>1537</v>
      </c>
    </row>
    <row r="955" spans="1:23" x14ac:dyDescent="0.25">
      <c r="H955">
        <v>703</v>
      </c>
    </row>
    <row r="956" spans="1:23" x14ac:dyDescent="0.25">
      <c r="A956">
        <v>475</v>
      </c>
      <c r="B956">
        <v>1554</v>
      </c>
      <c r="C956" t="s">
        <v>1538</v>
      </c>
      <c r="D956" t="s">
        <v>185</v>
      </c>
      <c r="E956" t="s">
        <v>62</v>
      </c>
      <c r="F956" t="s">
        <v>1539</v>
      </c>
      <c r="G956" t="str">
        <f>"00229640"</f>
        <v>00229640</v>
      </c>
      <c r="H956" t="s">
        <v>1536</v>
      </c>
      <c r="I956">
        <v>0</v>
      </c>
      <c r="J956">
        <v>30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84</v>
      </c>
      <c r="S956">
        <v>588</v>
      </c>
      <c r="T956">
        <v>0</v>
      </c>
      <c r="V956">
        <v>0</v>
      </c>
      <c r="W956" t="s">
        <v>1537</v>
      </c>
    </row>
    <row r="957" spans="1:23" x14ac:dyDescent="0.25">
      <c r="H957" t="s">
        <v>70</v>
      </c>
    </row>
    <row r="958" spans="1:23" x14ac:dyDescent="0.25">
      <c r="A958">
        <v>476</v>
      </c>
      <c r="B958">
        <v>3211</v>
      </c>
      <c r="C958" t="s">
        <v>1540</v>
      </c>
      <c r="D958" t="s">
        <v>361</v>
      </c>
      <c r="E958" t="s">
        <v>53</v>
      </c>
      <c r="F958" t="s">
        <v>1541</v>
      </c>
      <c r="G958" t="str">
        <f>"00224603"</f>
        <v>00224603</v>
      </c>
      <c r="H958" t="s">
        <v>245</v>
      </c>
      <c r="I958">
        <v>0</v>
      </c>
      <c r="J958">
        <v>0</v>
      </c>
      <c r="K958">
        <v>0</v>
      </c>
      <c r="L958">
        <v>0</v>
      </c>
      <c r="M958">
        <v>0</v>
      </c>
      <c r="N958">
        <v>0</v>
      </c>
      <c r="O958">
        <v>0</v>
      </c>
      <c r="P958">
        <v>0</v>
      </c>
      <c r="Q958">
        <v>0</v>
      </c>
      <c r="R958">
        <v>84</v>
      </c>
      <c r="S958">
        <v>588</v>
      </c>
      <c r="T958">
        <v>0</v>
      </c>
      <c r="V958">
        <v>0</v>
      </c>
      <c r="W958" t="s">
        <v>1542</v>
      </c>
    </row>
    <row r="959" spans="1:23" x14ac:dyDescent="0.25">
      <c r="H959">
        <v>703</v>
      </c>
    </row>
    <row r="960" spans="1:23" x14ac:dyDescent="0.25">
      <c r="A960">
        <v>477</v>
      </c>
      <c r="B960">
        <v>2636</v>
      </c>
      <c r="C960" t="s">
        <v>1543</v>
      </c>
      <c r="D960" t="s">
        <v>140</v>
      </c>
      <c r="E960" t="s">
        <v>53</v>
      </c>
      <c r="F960" t="s">
        <v>1544</v>
      </c>
      <c r="G960" t="str">
        <f>"201511033514"</f>
        <v>201511033514</v>
      </c>
      <c r="H960" t="s">
        <v>902</v>
      </c>
      <c r="I960">
        <v>150</v>
      </c>
      <c r="J960">
        <v>70</v>
      </c>
      <c r="K960">
        <v>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72</v>
      </c>
      <c r="S960">
        <v>504</v>
      </c>
      <c r="T960">
        <v>0</v>
      </c>
      <c r="V960">
        <v>2</v>
      </c>
      <c r="W960" t="s">
        <v>1545</v>
      </c>
    </row>
    <row r="961" spans="1:23" x14ac:dyDescent="0.25">
      <c r="H961">
        <v>703</v>
      </c>
    </row>
    <row r="962" spans="1:23" x14ac:dyDescent="0.25">
      <c r="A962">
        <v>478</v>
      </c>
      <c r="B962">
        <v>2497</v>
      </c>
      <c r="C962" t="s">
        <v>1546</v>
      </c>
      <c r="D962" t="s">
        <v>40</v>
      </c>
      <c r="E962" t="s">
        <v>109</v>
      </c>
      <c r="F962" t="s">
        <v>1547</v>
      </c>
      <c r="G962" t="str">
        <f>"201406011012"</f>
        <v>201406011012</v>
      </c>
      <c r="H962" t="s">
        <v>667</v>
      </c>
      <c r="I962">
        <v>0</v>
      </c>
      <c r="J962">
        <v>50</v>
      </c>
      <c r="K962">
        <v>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84</v>
      </c>
      <c r="S962">
        <v>588</v>
      </c>
      <c r="T962">
        <v>0</v>
      </c>
      <c r="V962">
        <v>0</v>
      </c>
      <c r="W962" t="s">
        <v>1548</v>
      </c>
    </row>
    <row r="963" spans="1:23" x14ac:dyDescent="0.25">
      <c r="H963">
        <v>703</v>
      </c>
    </row>
    <row r="964" spans="1:23" x14ac:dyDescent="0.25">
      <c r="A964">
        <v>479</v>
      </c>
      <c r="B964">
        <v>1013</v>
      </c>
      <c r="C964" t="s">
        <v>1549</v>
      </c>
      <c r="D964" t="s">
        <v>382</v>
      </c>
      <c r="E964" t="s">
        <v>105</v>
      </c>
      <c r="F964" t="s">
        <v>1550</v>
      </c>
      <c r="G964" t="str">
        <f>"200808000365"</f>
        <v>200808000365</v>
      </c>
      <c r="H964" t="s">
        <v>358</v>
      </c>
      <c r="I964">
        <v>0</v>
      </c>
      <c r="J964">
        <v>30</v>
      </c>
      <c r="K964">
        <v>0</v>
      </c>
      <c r="L964">
        <v>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84</v>
      </c>
      <c r="S964">
        <v>588</v>
      </c>
      <c r="T964">
        <v>0</v>
      </c>
      <c r="V964">
        <v>0</v>
      </c>
      <c r="W964" t="s">
        <v>1551</v>
      </c>
    </row>
    <row r="965" spans="1:23" x14ac:dyDescent="0.25">
      <c r="H965">
        <v>703</v>
      </c>
    </row>
    <row r="966" spans="1:23" x14ac:dyDescent="0.25">
      <c r="A966">
        <v>480</v>
      </c>
      <c r="B966">
        <v>2645</v>
      </c>
      <c r="C966" t="s">
        <v>1552</v>
      </c>
      <c r="D966" t="s">
        <v>344</v>
      </c>
      <c r="E966" t="s">
        <v>109</v>
      </c>
      <c r="F966" t="s">
        <v>1553</v>
      </c>
      <c r="G966" t="str">
        <f>"00145858"</f>
        <v>00145858</v>
      </c>
      <c r="H966">
        <v>924</v>
      </c>
      <c r="I966">
        <v>150</v>
      </c>
      <c r="J966">
        <v>70</v>
      </c>
      <c r="K966">
        <v>0</v>
      </c>
      <c r="L966">
        <v>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67</v>
      </c>
      <c r="S966">
        <v>469</v>
      </c>
      <c r="T966">
        <v>0</v>
      </c>
      <c r="V966">
        <v>0</v>
      </c>
      <c r="W966">
        <v>1613</v>
      </c>
    </row>
    <row r="967" spans="1:23" x14ac:dyDescent="0.25">
      <c r="H967" t="s">
        <v>26</v>
      </c>
    </row>
    <row r="968" spans="1:23" x14ac:dyDescent="0.25">
      <c r="A968">
        <v>481</v>
      </c>
      <c r="B968">
        <v>2043</v>
      </c>
      <c r="C968" t="s">
        <v>1554</v>
      </c>
      <c r="D968" t="s">
        <v>219</v>
      </c>
      <c r="E968" t="s">
        <v>41</v>
      </c>
      <c r="F968" t="s">
        <v>1555</v>
      </c>
      <c r="G968" t="str">
        <f>"200801004405"</f>
        <v>200801004405</v>
      </c>
      <c r="H968" t="s">
        <v>1556</v>
      </c>
      <c r="I968">
        <v>150</v>
      </c>
      <c r="J968">
        <v>30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84</v>
      </c>
      <c r="S968">
        <v>588</v>
      </c>
      <c r="T968">
        <v>0</v>
      </c>
      <c r="V968">
        <v>0</v>
      </c>
      <c r="W968" t="s">
        <v>1557</v>
      </c>
    </row>
    <row r="969" spans="1:23" x14ac:dyDescent="0.25">
      <c r="H969" t="s">
        <v>1558</v>
      </c>
    </row>
    <row r="970" spans="1:23" x14ac:dyDescent="0.25">
      <c r="A970">
        <v>482</v>
      </c>
      <c r="B970">
        <v>1699</v>
      </c>
      <c r="C970" t="s">
        <v>1559</v>
      </c>
      <c r="D970" t="s">
        <v>226</v>
      </c>
      <c r="E970" t="s">
        <v>167</v>
      </c>
      <c r="F970" t="s">
        <v>1560</v>
      </c>
      <c r="G970" t="str">
        <f>"00010565"</f>
        <v>00010565</v>
      </c>
      <c r="H970" t="s">
        <v>446</v>
      </c>
      <c r="I970">
        <v>0</v>
      </c>
      <c r="J970">
        <v>30</v>
      </c>
      <c r="K970">
        <v>0</v>
      </c>
      <c r="L970">
        <v>0</v>
      </c>
      <c r="M970">
        <v>30</v>
      </c>
      <c r="N970">
        <v>0</v>
      </c>
      <c r="O970">
        <v>0</v>
      </c>
      <c r="P970">
        <v>0</v>
      </c>
      <c r="Q970">
        <v>0</v>
      </c>
      <c r="R970">
        <v>84</v>
      </c>
      <c r="S970">
        <v>588</v>
      </c>
      <c r="T970">
        <v>0</v>
      </c>
      <c r="V970">
        <v>0</v>
      </c>
      <c r="W970" t="s">
        <v>1561</v>
      </c>
    </row>
    <row r="971" spans="1:23" x14ac:dyDescent="0.25">
      <c r="H971" t="s">
        <v>70</v>
      </c>
    </row>
    <row r="972" spans="1:23" x14ac:dyDescent="0.25">
      <c r="A972">
        <v>483</v>
      </c>
      <c r="B972">
        <v>2094</v>
      </c>
      <c r="C972" t="s">
        <v>1562</v>
      </c>
      <c r="D972" t="s">
        <v>140</v>
      </c>
      <c r="E972" t="s">
        <v>135</v>
      </c>
      <c r="F972" t="s">
        <v>1563</v>
      </c>
      <c r="G972" t="str">
        <f>"00229978"</f>
        <v>00229978</v>
      </c>
      <c r="H972" t="s">
        <v>363</v>
      </c>
      <c r="I972">
        <v>0</v>
      </c>
      <c r="J972">
        <v>30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84</v>
      </c>
      <c r="S972">
        <v>588</v>
      </c>
      <c r="T972">
        <v>0</v>
      </c>
      <c r="V972">
        <v>0</v>
      </c>
      <c r="W972" t="s">
        <v>1564</v>
      </c>
    </row>
    <row r="973" spans="1:23" x14ac:dyDescent="0.25">
      <c r="H973">
        <v>703</v>
      </c>
    </row>
    <row r="974" spans="1:23" x14ac:dyDescent="0.25">
      <c r="A974">
        <v>484</v>
      </c>
      <c r="B974">
        <v>2168</v>
      </c>
      <c r="C974" t="s">
        <v>1565</v>
      </c>
      <c r="D974" t="s">
        <v>226</v>
      </c>
      <c r="E974" t="s">
        <v>76</v>
      </c>
      <c r="F974" t="s">
        <v>1566</v>
      </c>
      <c r="G974" t="str">
        <f>"201511032262"</f>
        <v>201511032262</v>
      </c>
      <c r="H974">
        <v>1045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81</v>
      </c>
      <c r="S974">
        <v>567</v>
      </c>
      <c r="T974">
        <v>0</v>
      </c>
      <c r="V974">
        <v>0</v>
      </c>
      <c r="W974">
        <v>1612</v>
      </c>
    </row>
    <row r="975" spans="1:23" x14ac:dyDescent="0.25">
      <c r="H975">
        <v>703</v>
      </c>
    </row>
    <row r="976" spans="1:23" x14ac:dyDescent="0.25">
      <c r="A976">
        <v>485</v>
      </c>
      <c r="B976">
        <v>2020</v>
      </c>
      <c r="C976" t="s">
        <v>1567</v>
      </c>
      <c r="D976" t="s">
        <v>46</v>
      </c>
      <c r="E976" t="s">
        <v>53</v>
      </c>
      <c r="F976" t="s">
        <v>1568</v>
      </c>
      <c r="G976" t="str">
        <f>"201511037251"</f>
        <v>201511037251</v>
      </c>
      <c r="H976">
        <v>935</v>
      </c>
      <c r="I976">
        <v>150</v>
      </c>
      <c r="J976">
        <v>30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71</v>
      </c>
      <c r="S976">
        <v>497</v>
      </c>
      <c r="T976">
        <v>0</v>
      </c>
      <c r="V976">
        <v>2</v>
      </c>
      <c r="W976">
        <v>1612</v>
      </c>
    </row>
    <row r="977" spans="1:23" x14ac:dyDescent="0.25">
      <c r="H977">
        <v>703</v>
      </c>
    </row>
    <row r="978" spans="1:23" x14ac:dyDescent="0.25">
      <c r="A978">
        <v>486</v>
      </c>
      <c r="B978">
        <v>3083</v>
      </c>
      <c r="C978" t="s">
        <v>257</v>
      </c>
      <c r="D978" t="s">
        <v>273</v>
      </c>
      <c r="E978" t="s">
        <v>53</v>
      </c>
      <c r="F978" t="s">
        <v>1569</v>
      </c>
      <c r="G978" t="str">
        <f>"00143892"</f>
        <v>00143892</v>
      </c>
      <c r="H978">
        <v>924</v>
      </c>
      <c r="I978">
        <v>0</v>
      </c>
      <c r="J978">
        <v>30</v>
      </c>
      <c r="K978">
        <v>70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84</v>
      </c>
      <c r="S978">
        <v>588</v>
      </c>
      <c r="T978">
        <v>0</v>
      </c>
      <c r="V978">
        <v>0</v>
      </c>
      <c r="W978">
        <v>1612</v>
      </c>
    </row>
    <row r="979" spans="1:23" x14ac:dyDescent="0.25">
      <c r="H979" t="s">
        <v>70</v>
      </c>
    </row>
    <row r="980" spans="1:23" x14ac:dyDescent="0.25">
      <c r="A980">
        <v>487</v>
      </c>
      <c r="B980">
        <v>1948</v>
      </c>
      <c r="C980" t="s">
        <v>1570</v>
      </c>
      <c r="D980" t="s">
        <v>76</v>
      </c>
      <c r="E980" t="s">
        <v>592</v>
      </c>
      <c r="F980" t="s">
        <v>1571</v>
      </c>
      <c r="G980" t="str">
        <f>"201405001428"</f>
        <v>201405001428</v>
      </c>
      <c r="H980" t="s">
        <v>458</v>
      </c>
      <c r="I980">
        <v>0</v>
      </c>
      <c r="J980">
        <v>50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84</v>
      </c>
      <c r="S980">
        <v>588</v>
      </c>
      <c r="T980">
        <v>0</v>
      </c>
      <c r="V980">
        <v>0</v>
      </c>
      <c r="W980" t="s">
        <v>1572</v>
      </c>
    </row>
    <row r="981" spans="1:23" x14ac:dyDescent="0.25">
      <c r="H981">
        <v>703</v>
      </c>
    </row>
    <row r="982" spans="1:23" x14ac:dyDescent="0.25">
      <c r="A982">
        <v>488</v>
      </c>
      <c r="B982">
        <v>2132</v>
      </c>
      <c r="C982" t="s">
        <v>1573</v>
      </c>
      <c r="D982" t="s">
        <v>67</v>
      </c>
      <c r="E982" t="s">
        <v>167</v>
      </c>
      <c r="F982" t="s">
        <v>1574</v>
      </c>
      <c r="G982" t="str">
        <f>"00198364"</f>
        <v>00198364</v>
      </c>
      <c r="H982">
        <v>1001</v>
      </c>
      <c r="I982">
        <v>0</v>
      </c>
      <c r="J982">
        <v>70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77</v>
      </c>
      <c r="S982">
        <v>539</v>
      </c>
      <c r="T982">
        <v>0</v>
      </c>
      <c r="V982">
        <v>0</v>
      </c>
      <c r="W982">
        <v>1610</v>
      </c>
    </row>
    <row r="983" spans="1:23" x14ac:dyDescent="0.25">
      <c r="H983">
        <v>703</v>
      </c>
    </row>
    <row r="984" spans="1:23" x14ac:dyDescent="0.25">
      <c r="A984">
        <v>489</v>
      </c>
      <c r="B984">
        <v>619</v>
      </c>
      <c r="C984" t="s">
        <v>1575</v>
      </c>
      <c r="D984" t="s">
        <v>47</v>
      </c>
      <c r="E984" t="s">
        <v>76</v>
      </c>
      <c r="F984" t="s">
        <v>1576</v>
      </c>
      <c r="G984" t="str">
        <f>"201402003068"</f>
        <v>201402003068</v>
      </c>
      <c r="H984">
        <v>990</v>
      </c>
      <c r="I984">
        <v>150</v>
      </c>
      <c r="J984">
        <v>70</v>
      </c>
      <c r="K984">
        <v>70</v>
      </c>
      <c r="L984">
        <v>0</v>
      </c>
      <c r="M984">
        <v>50</v>
      </c>
      <c r="N984">
        <v>70</v>
      </c>
      <c r="O984">
        <v>0</v>
      </c>
      <c r="P984">
        <v>0</v>
      </c>
      <c r="Q984">
        <v>0</v>
      </c>
      <c r="R984">
        <v>30</v>
      </c>
      <c r="S984">
        <v>210</v>
      </c>
      <c r="T984">
        <v>0</v>
      </c>
      <c r="V984">
        <v>0</v>
      </c>
      <c r="W984">
        <v>1610</v>
      </c>
    </row>
    <row r="985" spans="1:23" x14ac:dyDescent="0.25">
      <c r="H985" t="s">
        <v>70</v>
      </c>
    </row>
    <row r="986" spans="1:23" x14ac:dyDescent="0.25">
      <c r="A986">
        <v>490</v>
      </c>
      <c r="B986">
        <v>1507</v>
      </c>
      <c r="C986" t="s">
        <v>1577</v>
      </c>
      <c r="D986" t="s">
        <v>32</v>
      </c>
      <c r="E986" t="s">
        <v>752</v>
      </c>
      <c r="F986" t="s">
        <v>1578</v>
      </c>
      <c r="G986" t="str">
        <f>"201304003025"</f>
        <v>201304003025</v>
      </c>
      <c r="H986" t="s">
        <v>217</v>
      </c>
      <c r="I986">
        <v>0</v>
      </c>
      <c r="J986">
        <v>70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84</v>
      </c>
      <c r="S986">
        <v>588</v>
      </c>
      <c r="T986">
        <v>0</v>
      </c>
      <c r="V986">
        <v>0</v>
      </c>
      <c r="W986" t="s">
        <v>1579</v>
      </c>
    </row>
    <row r="987" spans="1:23" x14ac:dyDescent="0.25">
      <c r="H987">
        <v>703</v>
      </c>
    </row>
    <row r="988" spans="1:23" x14ac:dyDescent="0.25">
      <c r="A988">
        <v>491</v>
      </c>
      <c r="B988">
        <v>2716</v>
      </c>
      <c r="C988" t="s">
        <v>1580</v>
      </c>
      <c r="D988" t="s">
        <v>1581</v>
      </c>
      <c r="E988" t="s">
        <v>15</v>
      </c>
      <c r="F988" t="s">
        <v>1582</v>
      </c>
      <c r="G988" t="str">
        <f>"200712003168"</f>
        <v>200712003168</v>
      </c>
      <c r="H988" t="s">
        <v>1583</v>
      </c>
      <c r="I988">
        <v>150</v>
      </c>
      <c r="J988">
        <v>50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82</v>
      </c>
      <c r="S988">
        <v>574</v>
      </c>
      <c r="T988">
        <v>0</v>
      </c>
      <c r="V988">
        <v>0</v>
      </c>
      <c r="W988" t="s">
        <v>1584</v>
      </c>
    </row>
    <row r="989" spans="1:23" x14ac:dyDescent="0.25">
      <c r="H989">
        <v>703</v>
      </c>
    </row>
    <row r="990" spans="1:23" x14ac:dyDescent="0.25">
      <c r="A990">
        <v>492</v>
      </c>
      <c r="B990">
        <v>1727</v>
      </c>
      <c r="C990" t="s">
        <v>1585</v>
      </c>
      <c r="D990" t="s">
        <v>105</v>
      </c>
      <c r="E990" t="s">
        <v>41</v>
      </c>
      <c r="F990" t="s">
        <v>1586</v>
      </c>
      <c r="G990" t="str">
        <f>"200909000056"</f>
        <v>200909000056</v>
      </c>
      <c r="H990" t="s">
        <v>1587</v>
      </c>
      <c r="I990">
        <v>0</v>
      </c>
      <c r="J990">
        <v>0</v>
      </c>
      <c r="K990">
        <v>0</v>
      </c>
      <c r="L990">
        <v>0</v>
      </c>
      <c r="M990">
        <v>0</v>
      </c>
      <c r="N990">
        <v>0</v>
      </c>
      <c r="O990">
        <v>0</v>
      </c>
      <c r="P990">
        <v>0</v>
      </c>
      <c r="Q990">
        <v>0</v>
      </c>
      <c r="R990">
        <v>84</v>
      </c>
      <c r="S990">
        <v>588</v>
      </c>
      <c r="T990">
        <v>0</v>
      </c>
      <c r="V990">
        <v>0</v>
      </c>
      <c r="W990" t="s">
        <v>1588</v>
      </c>
    </row>
    <row r="991" spans="1:23" x14ac:dyDescent="0.25">
      <c r="H991">
        <v>703</v>
      </c>
    </row>
    <row r="992" spans="1:23" x14ac:dyDescent="0.25">
      <c r="A992">
        <v>493</v>
      </c>
      <c r="B992">
        <v>2922</v>
      </c>
      <c r="C992" t="s">
        <v>1589</v>
      </c>
      <c r="D992" t="s">
        <v>361</v>
      </c>
      <c r="E992" t="s">
        <v>227</v>
      </c>
      <c r="F992" t="s">
        <v>1590</v>
      </c>
      <c r="G992" t="str">
        <f>"201511021804"</f>
        <v>201511021804</v>
      </c>
      <c r="H992" t="s">
        <v>1591</v>
      </c>
      <c r="I992">
        <v>0</v>
      </c>
      <c r="J992">
        <v>70</v>
      </c>
      <c r="K992">
        <v>30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62</v>
      </c>
      <c r="S992">
        <v>434</v>
      </c>
      <c r="T992">
        <v>0</v>
      </c>
      <c r="V992">
        <v>0</v>
      </c>
      <c r="W992" t="s">
        <v>1592</v>
      </c>
    </row>
    <row r="993" spans="1:23" x14ac:dyDescent="0.25">
      <c r="H993" t="s">
        <v>70</v>
      </c>
    </row>
    <row r="994" spans="1:23" x14ac:dyDescent="0.25">
      <c r="A994">
        <v>494</v>
      </c>
      <c r="B994">
        <v>1261</v>
      </c>
      <c r="C994" t="s">
        <v>1593</v>
      </c>
      <c r="D994" t="s">
        <v>325</v>
      </c>
      <c r="E994" t="s">
        <v>15</v>
      </c>
      <c r="F994" t="s">
        <v>1594</v>
      </c>
      <c r="G994" t="str">
        <f>"201406010243"</f>
        <v>201406010243</v>
      </c>
      <c r="H994" t="s">
        <v>1124</v>
      </c>
      <c r="I994">
        <v>0</v>
      </c>
      <c r="J994">
        <v>30</v>
      </c>
      <c r="K994">
        <v>30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74</v>
      </c>
      <c r="S994">
        <v>518</v>
      </c>
      <c r="T994">
        <v>0</v>
      </c>
      <c r="V994">
        <v>2</v>
      </c>
      <c r="W994" t="s">
        <v>1592</v>
      </c>
    </row>
    <row r="995" spans="1:23" x14ac:dyDescent="0.25">
      <c r="H995" t="s">
        <v>26</v>
      </c>
    </row>
    <row r="996" spans="1:23" x14ac:dyDescent="0.25">
      <c r="A996">
        <v>495</v>
      </c>
      <c r="B996">
        <v>1540</v>
      </c>
      <c r="C996" t="s">
        <v>1595</v>
      </c>
      <c r="D996" t="s">
        <v>67</v>
      </c>
      <c r="E996" t="s">
        <v>41</v>
      </c>
      <c r="F996" t="s">
        <v>1596</v>
      </c>
      <c r="G996" t="str">
        <f>"201410009301"</f>
        <v>201410009301</v>
      </c>
      <c r="H996">
        <v>990</v>
      </c>
      <c r="I996">
        <v>0</v>
      </c>
      <c r="J996">
        <v>30</v>
      </c>
      <c r="K996">
        <v>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84</v>
      </c>
      <c r="S996">
        <v>588</v>
      </c>
      <c r="T996">
        <v>0</v>
      </c>
      <c r="V996">
        <v>2</v>
      </c>
      <c r="W996">
        <v>1608</v>
      </c>
    </row>
    <row r="997" spans="1:23" x14ac:dyDescent="0.25">
      <c r="H997">
        <v>703</v>
      </c>
    </row>
    <row r="998" spans="1:23" x14ac:dyDescent="0.25">
      <c r="A998">
        <v>496</v>
      </c>
      <c r="B998">
        <v>134</v>
      </c>
      <c r="C998" t="s">
        <v>1597</v>
      </c>
      <c r="D998" t="s">
        <v>46</v>
      </c>
      <c r="E998" t="s">
        <v>393</v>
      </c>
      <c r="F998" t="s">
        <v>1598</v>
      </c>
      <c r="G998" t="str">
        <f>"00143878"</f>
        <v>00143878</v>
      </c>
      <c r="H998">
        <v>990</v>
      </c>
      <c r="I998">
        <v>0</v>
      </c>
      <c r="J998">
        <v>30</v>
      </c>
      <c r="K998">
        <v>0</v>
      </c>
      <c r="L998">
        <v>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84</v>
      </c>
      <c r="S998">
        <v>588</v>
      </c>
      <c r="T998">
        <v>0</v>
      </c>
      <c r="V998">
        <v>2</v>
      </c>
      <c r="W998">
        <v>1608</v>
      </c>
    </row>
    <row r="999" spans="1:23" x14ac:dyDescent="0.25">
      <c r="H999" t="s">
        <v>70</v>
      </c>
    </row>
    <row r="1000" spans="1:23" x14ac:dyDescent="0.25">
      <c r="A1000">
        <v>497</v>
      </c>
      <c r="B1000">
        <v>2685</v>
      </c>
      <c r="C1000" t="s">
        <v>1599</v>
      </c>
      <c r="D1000" t="s">
        <v>28</v>
      </c>
      <c r="E1000" t="s">
        <v>99</v>
      </c>
      <c r="F1000" t="s">
        <v>1600</v>
      </c>
      <c r="G1000" t="str">
        <f>"00021419"</f>
        <v>00021419</v>
      </c>
      <c r="H1000">
        <v>990</v>
      </c>
      <c r="I1000">
        <v>0</v>
      </c>
      <c r="J1000">
        <v>30</v>
      </c>
      <c r="K1000">
        <v>0</v>
      </c>
      <c r="L1000">
        <v>0</v>
      </c>
      <c r="M1000">
        <v>0</v>
      </c>
      <c r="N1000">
        <v>0</v>
      </c>
      <c r="O1000">
        <v>0</v>
      </c>
      <c r="P1000">
        <v>0</v>
      </c>
      <c r="Q1000">
        <v>0</v>
      </c>
      <c r="R1000">
        <v>84</v>
      </c>
      <c r="S1000">
        <v>588</v>
      </c>
      <c r="T1000">
        <v>0</v>
      </c>
      <c r="V1000">
        <v>0</v>
      </c>
      <c r="W1000">
        <v>1608</v>
      </c>
    </row>
    <row r="1001" spans="1:23" x14ac:dyDescent="0.25">
      <c r="H1001">
        <v>703</v>
      </c>
    </row>
    <row r="1002" spans="1:23" x14ac:dyDescent="0.25">
      <c r="A1002">
        <v>498</v>
      </c>
      <c r="B1002">
        <v>1906</v>
      </c>
      <c r="C1002" t="s">
        <v>1601</v>
      </c>
      <c r="D1002" t="s">
        <v>273</v>
      </c>
      <c r="E1002" t="s">
        <v>109</v>
      </c>
      <c r="F1002" t="s">
        <v>1602</v>
      </c>
      <c r="G1002" t="str">
        <f>"201405002003"</f>
        <v>201405002003</v>
      </c>
      <c r="H1002">
        <v>990</v>
      </c>
      <c r="I1002">
        <v>0</v>
      </c>
      <c r="J1002">
        <v>30</v>
      </c>
      <c r="K1002">
        <v>0</v>
      </c>
      <c r="L1002">
        <v>0</v>
      </c>
      <c r="M1002">
        <v>0</v>
      </c>
      <c r="N1002">
        <v>0</v>
      </c>
      <c r="O1002">
        <v>0</v>
      </c>
      <c r="P1002">
        <v>0</v>
      </c>
      <c r="Q1002">
        <v>0</v>
      </c>
      <c r="R1002">
        <v>84</v>
      </c>
      <c r="S1002">
        <v>588</v>
      </c>
      <c r="T1002">
        <v>0</v>
      </c>
      <c r="V1002">
        <v>0</v>
      </c>
      <c r="W1002">
        <v>1608</v>
      </c>
    </row>
    <row r="1003" spans="1:23" x14ac:dyDescent="0.25">
      <c r="H1003">
        <v>703</v>
      </c>
    </row>
    <row r="1004" spans="1:23" x14ac:dyDescent="0.25">
      <c r="A1004">
        <v>499</v>
      </c>
      <c r="B1004">
        <v>363</v>
      </c>
      <c r="C1004" t="s">
        <v>794</v>
      </c>
      <c r="D1004" t="s">
        <v>28</v>
      </c>
      <c r="E1004" t="s">
        <v>255</v>
      </c>
      <c r="F1004" t="s">
        <v>1603</v>
      </c>
      <c r="G1004" t="str">
        <f>"201405001888"</f>
        <v>201405001888</v>
      </c>
      <c r="H1004">
        <v>924</v>
      </c>
      <c r="I1004">
        <v>150</v>
      </c>
      <c r="J1004">
        <v>30</v>
      </c>
      <c r="K1004">
        <v>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72</v>
      </c>
      <c r="S1004">
        <v>504</v>
      </c>
      <c r="T1004">
        <v>0</v>
      </c>
      <c r="V1004">
        <v>0</v>
      </c>
      <c r="W1004">
        <v>1608</v>
      </c>
    </row>
    <row r="1005" spans="1:23" x14ac:dyDescent="0.25">
      <c r="H1005">
        <v>703</v>
      </c>
    </row>
    <row r="1006" spans="1:23" x14ac:dyDescent="0.25">
      <c r="A1006">
        <v>500</v>
      </c>
      <c r="B1006">
        <v>2107</v>
      </c>
      <c r="C1006" t="s">
        <v>1604</v>
      </c>
      <c r="D1006" t="s">
        <v>32</v>
      </c>
      <c r="E1006" t="s">
        <v>53</v>
      </c>
      <c r="F1006" t="s">
        <v>1605</v>
      </c>
      <c r="G1006" t="str">
        <f>"201604002956"</f>
        <v>201604002956</v>
      </c>
      <c r="H1006" t="s">
        <v>158</v>
      </c>
      <c r="I1006">
        <v>0</v>
      </c>
      <c r="J1006">
        <v>0</v>
      </c>
      <c r="K1006">
        <v>0</v>
      </c>
      <c r="L1006">
        <v>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84</v>
      </c>
      <c r="S1006">
        <v>588</v>
      </c>
      <c r="T1006">
        <v>0</v>
      </c>
      <c r="V1006">
        <v>0</v>
      </c>
      <c r="W1006" t="s">
        <v>1606</v>
      </c>
    </row>
    <row r="1007" spans="1:23" x14ac:dyDescent="0.25">
      <c r="H1007">
        <v>703</v>
      </c>
    </row>
    <row r="1008" spans="1:23" x14ac:dyDescent="0.25">
      <c r="A1008">
        <v>501</v>
      </c>
      <c r="B1008">
        <v>2553</v>
      </c>
      <c r="C1008" t="s">
        <v>1607</v>
      </c>
      <c r="D1008" t="s">
        <v>1483</v>
      </c>
      <c r="E1008" t="s">
        <v>303</v>
      </c>
      <c r="F1008" t="s">
        <v>1608</v>
      </c>
      <c r="G1008" t="str">
        <f>"200809000879"</f>
        <v>200809000879</v>
      </c>
      <c r="H1008" t="s">
        <v>836</v>
      </c>
      <c r="I1008">
        <v>0</v>
      </c>
      <c r="J1008">
        <v>50</v>
      </c>
      <c r="K1008">
        <v>0</v>
      </c>
      <c r="L1008">
        <v>0</v>
      </c>
      <c r="M1008">
        <v>0</v>
      </c>
      <c r="N1008">
        <v>0</v>
      </c>
      <c r="O1008">
        <v>0</v>
      </c>
      <c r="P1008">
        <v>0</v>
      </c>
      <c r="Q1008">
        <v>0</v>
      </c>
      <c r="R1008">
        <v>84</v>
      </c>
      <c r="S1008">
        <v>588</v>
      </c>
      <c r="T1008">
        <v>0</v>
      </c>
      <c r="V1008">
        <v>0</v>
      </c>
      <c r="W1008" t="s">
        <v>1609</v>
      </c>
    </row>
    <row r="1009" spans="1:23" x14ac:dyDescent="0.25">
      <c r="H1009" t="s">
        <v>26</v>
      </c>
    </row>
    <row r="1010" spans="1:23" x14ac:dyDescent="0.25">
      <c r="A1010">
        <v>502</v>
      </c>
      <c r="B1010">
        <v>1840</v>
      </c>
      <c r="C1010" t="s">
        <v>1610</v>
      </c>
      <c r="D1010" t="s">
        <v>285</v>
      </c>
      <c r="E1010" t="s">
        <v>76</v>
      </c>
      <c r="F1010" t="s">
        <v>1611</v>
      </c>
      <c r="G1010" t="str">
        <f>"00162274"</f>
        <v>00162274</v>
      </c>
      <c r="H1010">
        <v>1012</v>
      </c>
      <c r="I1010">
        <v>0</v>
      </c>
      <c r="J1010">
        <v>70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75</v>
      </c>
      <c r="S1010">
        <v>525</v>
      </c>
      <c r="T1010">
        <v>0</v>
      </c>
      <c r="V1010">
        <v>0</v>
      </c>
      <c r="W1010">
        <v>1607</v>
      </c>
    </row>
    <row r="1011" spans="1:23" x14ac:dyDescent="0.25">
      <c r="H1011" t="s">
        <v>26</v>
      </c>
    </row>
    <row r="1012" spans="1:23" x14ac:dyDescent="0.25">
      <c r="A1012">
        <v>503</v>
      </c>
      <c r="B1012">
        <v>2444</v>
      </c>
      <c r="C1012" t="s">
        <v>1612</v>
      </c>
      <c r="D1012" t="s">
        <v>1613</v>
      </c>
      <c r="E1012" t="s">
        <v>1614</v>
      </c>
      <c r="F1012" t="s">
        <v>1615</v>
      </c>
      <c r="G1012" t="str">
        <f>"201506004123"</f>
        <v>201506004123</v>
      </c>
      <c r="H1012" t="s">
        <v>1616</v>
      </c>
      <c r="I1012">
        <v>150</v>
      </c>
      <c r="J1012">
        <v>30</v>
      </c>
      <c r="K1012">
        <v>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84</v>
      </c>
      <c r="S1012">
        <v>588</v>
      </c>
      <c r="T1012">
        <v>0</v>
      </c>
      <c r="V1012">
        <v>0</v>
      </c>
      <c r="W1012" t="s">
        <v>1617</v>
      </c>
    </row>
    <row r="1013" spans="1:23" x14ac:dyDescent="0.25">
      <c r="H1013">
        <v>703</v>
      </c>
    </row>
    <row r="1014" spans="1:23" x14ac:dyDescent="0.25">
      <c r="A1014">
        <v>504</v>
      </c>
      <c r="B1014">
        <v>1701</v>
      </c>
      <c r="C1014" t="s">
        <v>1618</v>
      </c>
      <c r="D1014" t="s">
        <v>1285</v>
      </c>
      <c r="E1014" t="s">
        <v>1619</v>
      </c>
      <c r="F1014" t="s">
        <v>1620</v>
      </c>
      <c r="G1014" t="str">
        <f>"201511026319"</f>
        <v>201511026319</v>
      </c>
      <c r="H1014" t="s">
        <v>142</v>
      </c>
      <c r="I1014">
        <v>150</v>
      </c>
      <c r="J1014">
        <v>30</v>
      </c>
      <c r="K1014">
        <v>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52</v>
      </c>
      <c r="S1014">
        <v>364</v>
      </c>
      <c r="T1014">
        <v>0</v>
      </c>
      <c r="V1014">
        <v>0</v>
      </c>
      <c r="W1014" t="s">
        <v>1621</v>
      </c>
    </row>
    <row r="1015" spans="1:23" x14ac:dyDescent="0.25">
      <c r="H1015" t="s">
        <v>70</v>
      </c>
    </row>
    <row r="1016" spans="1:23" x14ac:dyDescent="0.25">
      <c r="A1016">
        <v>505</v>
      </c>
      <c r="B1016">
        <v>858</v>
      </c>
      <c r="C1016" t="s">
        <v>1622</v>
      </c>
      <c r="D1016" t="s">
        <v>527</v>
      </c>
      <c r="E1016" t="s">
        <v>109</v>
      </c>
      <c r="F1016" t="s">
        <v>1623</v>
      </c>
      <c r="G1016" t="str">
        <f>"201412000139"</f>
        <v>201412000139</v>
      </c>
      <c r="H1016">
        <v>1100</v>
      </c>
      <c r="I1016">
        <v>0</v>
      </c>
      <c r="J1016">
        <v>50</v>
      </c>
      <c r="K1016">
        <v>0</v>
      </c>
      <c r="L1016">
        <v>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65</v>
      </c>
      <c r="S1016">
        <v>455</v>
      </c>
      <c r="T1016">
        <v>0</v>
      </c>
      <c r="V1016">
        <v>0</v>
      </c>
      <c r="W1016">
        <v>1605</v>
      </c>
    </row>
    <row r="1017" spans="1:23" x14ac:dyDescent="0.25">
      <c r="H1017" t="s">
        <v>70</v>
      </c>
    </row>
    <row r="1018" spans="1:23" x14ac:dyDescent="0.25">
      <c r="A1018">
        <v>506</v>
      </c>
      <c r="B1018">
        <v>2925</v>
      </c>
      <c r="C1018" t="s">
        <v>1624</v>
      </c>
      <c r="D1018" t="s">
        <v>607</v>
      </c>
      <c r="E1018" t="s">
        <v>135</v>
      </c>
      <c r="F1018" t="s">
        <v>1625</v>
      </c>
      <c r="G1018" t="str">
        <f>"201410002273"</f>
        <v>201410002273</v>
      </c>
      <c r="H1018">
        <v>1056</v>
      </c>
      <c r="I1018">
        <v>0</v>
      </c>
      <c r="J1018">
        <v>70</v>
      </c>
      <c r="K1018">
        <v>0</v>
      </c>
      <c r="L1018">
        <v>50</v>
      </c>
      <c r="M1018">
        <v>0</v>
      </c>
      <c r="N1018">
        <v>30</v>
      </c>
      <c r="O1018">
        <v>0</v>
      </c>
      <c r="P1018">
        <v>0</v>
      </c>
      <c r="Q1018">
        <v>0</v>
      </c>
      <c r="R1018">
        <v>57</v>
      </c>
      <c r="S1018">
        <v>399</v>
      </c>
      <c r="T1018">
        <v>0</v>
      </c>
      <c r="V1018">
        <v>0</v>
      </c>
      <c r="W1018">
        <v>1605</v>
      </c>
    </row>
    <row r="1019" spans="1:23" x14ac:dyDescent="0.25">
      <c r="H1019" t="s">
        <v>70</v>
      </c>
    </row>
    <row r="1020" spans="1:23" x14ac:dyDescent="0.25">
      <c r="A1020">
        <v>507</v>
      </c>
      <c r="B1020">
        <v>3168</v>
      </c>
      <c r="C1020" t="s">
        <v>1626</v>
      </c>
      <c r="D1020" t="s">
        <v>1144</v>
      </c>
      <c r="E1020" t="s">
        <v>947</v>
      </c>
      <c r="F1020" t="s">
        <v>1627</v>
      </c>
      <c r="G1020" t="str">
        <f>"00114868"</f>
        <v>00114868</v>
      </c>
      <c r="H1020" t="s">
        <v>446</v>
      </c>
      <c r="I1020">
        <v>0</v>
      </c>
      <c r="J1020">
        <v>50</v>
      </c>
      <c r="K1020">
        <v>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84</v>
      </c>
      <c r="S1020">
        <v>588</v>
      </c>
      <c r="T1020">
        <v>0</v>
      </c>
      <c r="V1020">
        <v>0</v>
      </c>
      <c r="W1020" t="s">
        <v>1628</v>
      </c>
    </row>
    <row r="1021" spans="1:23" x14ac:dyDescent="0.25">
      <c r="H1021">
        <v>703</v>
      </c>
    </row>
    <row r="1022" spans="1:23" x14ac:dyDescent="0.25">
      <c r="A1022">
        <v>508</v>
      </c>
      <c r="B1022">
        <v>268</v>
      </c>
      <c r="C1022" t="s">
        <v>1629</v>
      </c>
      <c r="D1022" t="s">
        <v>67</v>
      </c>
      <c r="E1022" t="s">
        <v>76</v>
      </c>
      <c r="F1022" t="s">
        <v>1630</v>
      </c>
      <c r="G1022" t="str">
        <f>"201401000886"</f>
        <v>201401000886</v>
      </c>
      <c r="H1022" t="s">
        <v>202</v>
      </c>
      <c r="I1022">
        <v>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0</v>
      </c>
      <c r="P1022">
        <v>0</v>
      </c>
      <c r="Q1022">
        <v>0</v>
      </c>
      <c r="R1022">
        <v>84</v>
      </c>
      <c r="S1022">
        <v>588</v>
      </c>
      <c r="T1022">
        <v>0</v>
      </c>
      <c r="V1022">
        <v>0</v>
      </c>
      <c r="W1022" t="s">
        <v>1631</v>
      </c>
    </row>
    <row r="1023" spans="1:23" x14ac:dyDescent="0.25">
      <c r="H1023">
        <v>703</v>
      </c>
    </row>
    <row r="1024" spans="1:23" x14ac:dyDescent="0.25">
      <c r="A1024">
        <v>509</v>
      </c>
      <c r="B1024">
        <v>2466</v>
      </c>
      <c r="C1024" t="s">
        <v>1632</v>
      </c>
      <c r="D1024" t="s">
        <v>273</v>
      </c>
      <c r="E1024" t="s">
        <v>1633</v>
      </c>
      <c r="F1024" t="s">
        <v>1634</v>
      </c>
      <c r="G1024" t="str">
        <f>"00090975"</f>
        <v>00090975</v>
      </c>
      <c r="H1024" t="s">
        <v>1257</v>
      </c>
      <c r="I1024">
        <v>0</v>
      </c>
      <c r="J1024">
        <v>30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84</v>
      </c>
      <c r="S1024">
        <v>588</v>
      </c>
      <c r="T1024">
        <v>0</v>
      </c>
      <c r="V1024">
        <v>0</v>
      </c>
      <c r="W1024" t="s">
        <v>1635</v>
      </c>
    </row>
    <row r="1025" spans="1:23" x14ac:dyDescent="0.25">
      <c r="H1025">
        <v>703</v>
      </c>
    </row>
    <row r="1026" spans="1:23" x14ac:dyDescent="0.25">
      <c r="A1026">
        <v>510</v>
      </c>
      <c r="B1026">
        <v>2672</v>
      </c>
      <c r="C1026" t="s">
        <v>1636</v>
      </c>
      <c r="D1026" t="s">
        <v>752</v>
      </c>
      <c r="E1026" t="s">
        <v>1633</v>
      </c>
      <c r="F1026" t="s">
        <v>1637</v>
      </c>
      <c r="G1026" t="str">
        <f>"201410012779"</f>
        <v>201410012779</v>
      </c>
      <c r="H1026" t="s">
        <v>1638</v>
      </c>
      <c r="I1026">
        <v>0</v>
      </c>
      <c r="J1026">
        <v>0</v>
      </c>
      <c r="K1026">
        <v>0</v>
      </c>
      <c r="L1026">
        <v>0</v>
      </c>
      <c r="M1026">
        <v>0</v>
      </c>
      <c r="N1026">
        <v>0</v>
      </c>
      <c r="O1026">
        <v>0</v>
      </c>
      <c r="P1026">
        <v>0</v>
      </c>
      <c r="Q1026">
        <v>0</v>
      </c>
      <c r="R1026">
        <v>84</v>
      </c>
      <c r="S1026">
        <v>588</v>
      </c>
      <c r="T1026">
        <v>0</v>
      </c>
      <c r="V1026">
        <v>0</v>
      </c>
      <c r="W1026" t="s">
        <v>1639</v>
      </c>
    </row>
    <row r="1027" spans="1:23" x14ac:dyDescent="0.25">
      <c r="H1027">
        <v>703</v>
      </c>
    </row>
    <row r="1028" spans="1:23" x14ac:dyDescent="0.25">
      <c r="A1028">
        <v>511</v>
      </c>
      <c r="B1028">
        <v>3143</v>
      </c>
      <c r="C1028" t="s">
        <v>623</v>
      </c>
      <c r="D1028" t="s">
        <v>40</v>
      </c>
      <c r="E1028" t="s">
        <v>29</v>
      </c>
      <c r="F1028" t="s">
        <v>1640</v>
      </c>
      <c r="G1028" t="str">
        <f>"00113295"</f>
        <v>00113295</v>
      </c>
      <c r="H1028">
        <v>935</v>
      </c>
      <c r="I1028">
        <v>0</v>
      </c>
      <c r="J1028">
        <v>70</v>
      </c>
      <c r="K1028">
        <v>50</v>
      </c>
      <c r="L1028">
        <v>0</v>
      </c>
      <c r="M1028">
        <v>0</v>
      </c>
      <c r="N1028">
        <v>0</v>
      </c>
      <c r="O1028">
        <v>0</v>
      </c>
      <c r="P1028">
        <v>0</v>
      </c>
      <c r="Q1028">
        <v>0</v>
      </c>
      <c r="R1028">
        <v>78</v>
      </c>
      <c r="S1028">
        <v>546</v>
      </c>
      <c r="T1028">
        <v>0</v>
      </c>
      <c r="V1028">
        <v>0</v>
      </c>
      <c r="W1028">
        <v>1601</v>
      </c>
    </row>
    <row r="1029" spans="1:23" x14ac:dyDescent="0.25">
      <c r="H1029" t="s">
        <v>70</v>
      </c>
    </row>
    <row r="1030" spans="1:23" x14ac:dyDescent="0.25">
      <c r="A1030">
        <v>512</v>
      </c>
      <c r="B1030">
        <v>1771</v>
      </c>
      <c r="C1030" t="s">
        <v>1641</v>
      </c>
      <c r="D1030" t="s">
        <v>273</v>
      </c>
      <c r="E1030" t="s">
        <v>91</v>
      </c>
      <c r="F1030" t="s">
        <v>1642</v>
      </c>
      <c r="G1030" t="str">
        <f>"00230155"</f>
        <v>00230155</v>
      </c>
      <c r="H1030">
        <v>1012</v>
      </c>
      <c r="I1030">
        <v>0</v>
      </c>
      <c r="J1030">
        <v>0</v>
      </c>
      <c r="K1030">
        <v>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84</v>
      </c>
      <c r="S1030">
        <v>588</v>
      </c>
      <c r="T1030">
        <v>0</v>
      </c>
      <c r="V1030">
        <v>0</v>
      </c>
      <c r="W1030">
        <v>1600</v>
      </c>
    </row>
    <row r="1031" spans="1:23" x14ac:dyDescent="0.25">
      <c r="H1031">
        <v>703</v>
      </c>
    </row>
    <row r="1032" spans="1:23" x14ac:dyDescent="0.25">
      <c r="A1032">
        <v>513</v>
      </c>
      <c r="B1032">
        <v>2347</v>
      </c>
      <c r="C1032" t="s">
        <v>1643</v>
      </c>
      <c r="D1032" t="s">
        <v>20</v>
      </c>
      <c r="E1032" t="s">
        <v>105</v>
      </c>
      <c r="F1032" t="s">
        <v>1644</v>
      </c>
      <c r="G1032" t="str">
        <f>"00225318"</f>
        <v>00225318</v>
      </c>
      <c r="H1032">
        <v>1012</v>
      </c>
      <c r="I1032">
        <v>0</v>
      </c>
      <c r="J1032">
        <v>0</v>
      </c>
      <c r="K1032">
        <v>0</v>
      </c>
      <c r="L1032">
        <v>0</v>
      </c>
      <c r="M1032">
        <v>0</v>
      </c>
      <c r="N1032">
        <v>0</v>
      </c>
      <c r="O1032">
        <v>0</v>
      </c>
      <c r="P1032">
        <v>0</v>
      </c>
      <c r="Q1032">
        <v>0</v>
      </c>
      <c r="R1032">
        <v>84</v>
      </c>
      <c r="S1032">
        <v>588</v>
      </c>
      <c r="T1032">
        <v>0</v>
      </c>
      <c r="V1032">
        <v>0</v>
      </c>
      <c r="W1032">
        <v>1600</v>
      </c>
    </row>
    <row r="1033" spans="1:23" x14ac:dyDescent="0.25">
      <c r="H1033">
        <v>703</v>
      </c>
    </row>
    <row r="1034" spans="1:23" x14ac:dyDescent="0.25">
      <c r="A1034">
        <v>514</v>
      </c>
      <c r="B1034">
        <v>132</v>
      </c>
      <c r="C1034" t="s">
        <v>1645</v>
      </c>
      <c r="D1034" t="s">
        <v>219</v>
      </c>
      <c r="E1034" t="s">
        <v>41</v>
      </c>
      <c r="F1034" t="s">
        <v>1646</v>
      </c>
      <c r="G1034" t="str">
        <f>"00222355"</f>
        <v>00222355</v>
      </c>
      <c r="H1034" t="s">
        <v>1370</v>
      </c>
      <c r="I1034">
        <v>0</v>
      </c>
      <c r="J1034">
        <v>30</v>
      </c>
      <c r="K1034">
        <v>0</v>
      </c>
      <c r="L1034">
        <v>0</v>
      </c>
      <c r="M1034">
        <v>0</v>
      </c>
      <c r="N1034">
        <v>0</v>
      </c>
      <c r="O1034">
        <v>0</v>
      </c>
      <c r="P1034">
        <v>0</v>
      </c>
      <c r="Q1034">
        <v>0</v>
      </c>
      <c r="R1034">
        <v>84</v>
      </c>
      <c r="S1034">
        <v>588</v>
      </c>
      <c r="T1034">
        <v>0</v>
      </c>
      <c r="V1034">
        <v>0</v>
      </c>
      <c r="W1034" t="s">
        <v>1647</v>
      </c>
    </row>
    <row r="1035" spans="1:23" x14ac:dyDescent="0.25">
      <c r="H1035" t="s">
        <v>70</v>
      </c>
    </row>
    <row r="1036" spans="1:23" x14ac:dyDescent="0.25">
      <c r="A1036">
        <v>515</v>
      </c>
      <c r="B1036">
        <v>2119</v>
      </c>
      <c r="C1036" t="s">
        <v>1648</v>
      </c>
      <c r="D1036" t="s">
        <v>134</v>
      </c>
      <c r="E1036" t="s">
        <v>99</v>
      </c>
      <c r="F1036" t="s">
        <v>1649</v>
      </c>
      <c r="G1036" t="str">
        <f>"201406004406"</f>
        <v>201406004406</v>
      </c>
      <c r="H1036">
        <v>1023</v>
      </c>
      <c r="I1036">
        <v>0</v>
      </c>
      <c r="J1036">
        <v>70</v>
      </c>
      <c r="K1036">
        <v>50</v>
      </c>
      <c r="L1036">
        <v>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65</v>
      </c>
      <c r="S1036">
        <v>455</v>
      </c>
      <c r="T1036">
        <v>0</v>
      </c>
      <c r="V1036">
        <v>0</v>
      </c>
      <c r="W1036">
        <v>1598</v>
      </c>
    </row>
    <row r="1037" spans="1:23" x14ac:dyDescent="0.25">
      <c r="H1037">
        <v>703</v>
      </c>
    </row>
    <row r="1038" spans="1:23" x14ac:dyDescent="0.25">
      <c r="A1038">
        <v>516</v>
      </c>
      <c r="B1038">
        <v>1826</v>
      </c>
      <c r="C1038" t="s">
        <v>1650</v>
      </c>
      <c r="D1038" t="s">
        <v>1651</v>
      </c>
      <c r="E1038" t="s">
        <v>15</v>
      </c>
      <c r="F1038" t="s">
        <v>1652</v>
      </c>
      <c r="G1038" t="str">
        <f>"00224977"</f>
        <v>00224977</v>
      </c>
      <c r="H1038" t="s">
        <v>570</v>
      </c>
      <c r="I1038">
        <v>0</v>
      </c>
      <c r="J1038">
        <v>0</v>
      </c>
      <c r="K1038">
        <v>0</v>
      </c>
      <c r="L1038">
        <v>0</v>
      </c>
      <c r="M1038">
        <v>0</v>
      </c>
      <c r="N1038">
        <v>0</v>
      </c>
      <c r="O1038">
        <v>0</v>
      </c>
      <c r="P1038">
        <v>0</v>
      </c>
      <c r="Q1038">
        <v>0</v>
      </c>
      <c r="R1038">
        <v>84</v>
      </c>
      <c r="S1038">
        <v>588</v>
      </c>
      <c r="T1038">
        <v>0</v>
      </c>
      <c r="V1038">
        <v>0</v>
      </c>
      <c r="W1038" t="s">
        <v>1653</v>
      </c>
    </row>
    <row r="1039" spans="1:23" x14ac:dyDescent="0.25">
      <c r="H1039">
        <v>703</v>
      </c>
    </row>
    <row r="1040" spans="1:23" x14ac:dyDescent="0.25">
      <c r="A1040">
        <v>517</v>
      </c>
      <c r="B1040">
        <v>1204</v>
      </c>
      <c r="C1040" t="s">
        <v>1654</v>
      </c>
      <c r="D1040" t="s">
        <v>1655</v>
      </c>
      <c r="E1040" t="s">
        <v>58</v>
      </c>
      <c r="F1040" t="s">
        <v>1656</v>
      </c>
      <c r="G1040" t="str">
        <f>"200712002035"</f>
        <v>200712002035</v>
      </c>
      <c r="H1040" t="s">
        <v>570</v>
      </c>
      <c r="I1040">
        <v>0</v>
      </c>
      <c r="J1040">
        <v>0</v>
      </c>
      <c r="K1040">
        <v>0</v>
      </c>
      <c r="L1040">
        <v>0</v>
      </c>
      <c r="M1040">
        <v>0</v>
      </c>
      <c r="N1040">
        <v>0</v>
      </c>
      <c r="O1040">
        <v>0</v>
      </c>
      <c r="P1040">
        <v>0</v>
      </c>
      <c r="Q1040">
        <v>0</v>
      </c>
      <c r="R1040">
        <v>84</v>
      </c>
      <c r="S1040">
        <v>588</v>
      </c>
      <c r="T1040">
        <v>0</v>
      </c>
      <c r="V1040">
        <v>1</v>
      </c>
      <c r="W1040" t="s">
        <v>1653</v>
      </c>
    </row>
    <row r="1041" spans="1:23" x14ac:dyDescent="0.25">
      <c r="H1041">
        <v>703</v>
      </c>
    </row>
    <row r="1042" spans="1:23" x14ac:dyDescent="0.25">
      <c r="A1042">
        <v>518</v>
      </c>
      <c r="B1042">
        <v>1361</v>
      </c>
      <c r="C1042" t="s">
        <v>762</v>
      </c>
      <c r="D1042" t="s">
        <v>113</v>
      </c>
      <c r="E1042" t="s">
        <v>88</v>
      </c>
      <c r="F1042" t="s">
        <v>1657</v>
      </c>
      <c r="G1042" t="str">
        <f>"00225714"</f>
        <v>00225714</v>
      </c>
      <c r="H1042" t="s">
        <v>187</v>
      </c>
      <c r="I1042">
        <v>0</v>
      </c>
      <c r="J1042">
        <v>70</v>
      </c>
      <c r="K1042">
        <v>30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67</v>
      </c>
      <c r="S1042">
        <v>469</v>
      </c>
      <c r="T1042">
        <v>0</v>
      </c>
      <c r="V1042">
        <v>0</v>
      </c>
      <c r="W1042" t="s">
        <v>1658</v>
      </c>
    </row>
    <row r="1043" spans="1:23" x14ac:dyDescent="0.25">
      <c r="H1043" t="s">
        <v>26</v>
      </c>
    </row>
    <row r="1044" spans="1:23" x14ac:dyDescent="0.25">
      <c r="A1044">
        <v>519</v>
      </c>
      <c r="B1044">
        <v>1839</v>
      </c>
      <c r="C1044" t="s">
        <v>1659</v>
      </c>
      <c r="D1044" t="s">
        <v>254</v>
      </c>
      <c r="E1044" t="s">
        <v>53</v>
      </c>
      <c r="F1044" t="s">
        <v>1660</v>
      </c>
      <c r="G1044" t="str">
        <f>"00074634"</f>
        <v>00074634</v>
      </c>
      <c r="H1044">
        <v>979</v>
      </c>
      <c r="I1044">
        <v>0</v>
      </c>
      <c r="J1044">
        <v>30</v>
      </c>
      <c r="K1044">
        <v>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84</v>
      </c>
      <c r="S1044">
        <v>588</v>
      </c>
      <c r="T1044">
        <v>0</v>
      </c>
      <c r="V1044">
        <v>0</v>
      </c>
      <c r="W1044">
        <v>1597</v>
      </c>
    </row>
    <row r="1045" spans="1:23" x14ac:dyDescent="0.25">
      <c r="H1045">
        <v>703</v>
      </c>
    </row>
    <row r="1046" spans="1:23" x14ac:dyDescent="0.25">
      <c r="A1046">
        <v>520</v>
      </c>
      <c r="B1046">
        <v>3116</v>
      </c>
      <c r="C1046" t="s">
        <v>1661</v>
      </c>
      <c r="D1046" t="s">
        <v>226</v>
      </c>
      <c r="E1046" t="s">
        <v>109</v>
      </c>
      <c r="F1046" t="s">
        <v>1662</v>
      </c>
      <c r="G1046" t="str">
        <f>"00193784"</f>
        <v>00193784</v>
      </c>
      <c r="H1046" t="s">
        <v>1663</v>
      </c>
      <c r="I1046">
        <v>0</v>
      </c>
      <c r="J1046">
        <v>0</v>
      </c>
      <c r="K1046">
        <v>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84</v>
      </c>
      <c r="S1046">
        <v>588</v>
      </c>
      <c r="T1046">
        <v>0</v>
      </c>
      <c r="V1046">
        <v>0</v>
      </c>
      <c r="W1046" t="s">
        <v>1664</v>
      </c>
    </row>
    <row r="1047" spans="1:23" x14ac:dyDescent="0.25">
      <c r="H1047">
        <v>703</v>
      </c>
    </row>
    <row r="1048" spans="1:23" x14ac:dyDescent="0.25">
      <c r="A1048">
        <v>521</v>
      </c>
      <c r="B1048">
        <v>2262</v>
      </c>
      <c r="C1048" t="s">
        <v>1665</v>
      </c>
      <c r="D1048" t="s">
        <v>344</v>
      </c>
      <c r="E1048" t="s">
        <v>15</v>
      </c>
      <c r="F1048" t="s">
        <v>1666</v>
      </c>
      <c r="G1048" t="str">
        <f>"201510004865"</f>
        <v>201510004865</v>
      </c>
      <c r="H1048" t="s">
        <v>1663</v>
      </c>
      <c r="I1048">
        <v>0</v>
      </c>
      <c r="J1048">
        <v>0</v>
      </c>
      <c r="K1048">
        <v>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84</v>
      </c>
      <c r="S1048">
        <v>588</v>
      </c>
      <c r="T1048">
        <v>0</v>
      </c>
      <c r="V1048">
        <v>2</v>
      </c>
      <c r="W1048" t="s">
        <v>1664</v>
      </c>
    </row>
    <row r="1049" spans="1:23" x14ac:dyDescent="0.25">
      <c r="H1049">
        <v>703</v>
      </c>
    </row>
    <row r="1050" spans="1:23" x14ac:dyDescent="0.25">
      <c r="A1050">
        <v>522</v>
      </c>
      <c r="B1050">
        <v>2440</v>
      </c>
      <c r="C1050" t="s">
        <v>1436</v>
      </c>
      <c r="D1050" t="s">
        <v>1210</v>
      </c>
      <c r="E1050" t="s">
        <v>369</v>
      </c>
      <c r="F1050" t="s">
        <v>1667</v>
      </c>
      <c r="G1050" t="str">
        <f>"201402007188"</f>
        <v>201402007188</v>
      </c>
      <c r="H1050" t="s">
        <v>594</v>
      </c>
      <c r="I1050">
        <v>0</v>
      </c>
      <c r="J1050">
        <v>30</v>
      </c>
      <c r="K1050">
        <v>0</v>
      </c>
      <c r="L1050">
        <v>0</v>
      </c>
      <c r="M1050">
        <v>0</v>
      </c>
      <c r="N1050">
        <v>0</v>
      </c>
      <c r="O1050">
        <v>0</v>
      </c>
      <c r="P1050">
        <v>0</v>
      </c>
      <c r="Q1050">
        <v>0</v>
      </c>
      <c r="R1050">
        <v>84</v>
      </c>
      <c r="S1050">
        <v>588</v>
      </c>
      <c r="T1050">
        <v>0</v>
      </c>
      <c r="V1050">
        <v>0</v>
      </c>
      <c r="W1050" t="s">
        <v>1668</v>
      </c>
    </row>
    <row r="1051" spans="1:23" x14ac:dyDescent="0.25">
      <c r="H1051">
        <v>703</v>
      </c>
    </row>
    <row r="1052" spans="1:23" x14ac:dyDescent="0.25">
      <c r="A1052">
        <v>523</v>
      </c>
      <c r="B1052">
        <v>71</v>
      </c>
      <c r="C1052" t="s">
        <v>1669</v>
      </c>
      <c r="D1052" t="s">
        <v>1670</v>
      </c>
      <c r="E1052" t="s">
        <v>251</v>
      </c>
      <c r="F1052" t="s">
        <v>1671</v>
      </c>
      <c r="G1052" t="str">
        <f>"200802000269"</f>
        <v>200802000269</v>
      </c>
      <c r="H1052" t="s">
        <v>1672</v>
      </c>
      <c r="I1052">
        <v>0</v>
      </c>
      <c r="J1052">
        <v>50</v>
      </c>
      <c r="K1052">
        <v>0</v>
      </c>
      <c r="L1052">
        <v>0</v>
      </c>
      <c r="M1052">
        <v>30</v>
      </c>
      <c r="N1052">
        <v>0</v>
      </c>
      <c r="O1052">
        <v>0</v>
      </c>
      <c r="P1052">
        <v>0</v>
      </c>
      <c r="Q1052">
        <v>0</v>
      </c>
      <c r="R1052">
        <v>60</v>
      </c>
      <c r="S1052">
        <v>420</v>
      </c>
      <c r="T1052">
        <v>0</v>
      </c>
      <c r="V1052">
        <v>0</v>
      </c>
      <c r="W1052" t="s">
        <v>1673</v>
      </c>
    </row>
    <row r="1053" spans="1:23" x14ac:dyDescent="0.25">
      <c r="H1053" t="s">
        <v>70</v>
      </c>
    </row>
    <row r="1054" spans="1:23" x14ac:dyDescent="0.25">
      <c r="A1054">
        <v>524</v>
      </c>
      <c r="B1054">
        <v>2077</v>
      </c>
      <c r="C1054" t="s">
        <v>1674</v>
      </c>
      <c r="D1054" t="s">
        <v>873</v>
      </c>
      <c r="E1054" t="s">
        <v>1633</v>
      </c>
      <c r="F1054" t="s">
        <v>1675</v>
      </c>
      <c r="G1054" t="str">
        <f>"00079126"</f>
        <v>00079126</v>
      </c>
      <c r="H1054" t="s">
        <v>429</v>
      </c>
      <c r="I1054">
        <v>0</v>
      </c>
      <c r="J1054">
        <v>0</v>
      </c>
      <c r="K1054">
        <v>0</v>
      </c>
      <c r="L1054">
        <v>0</v>
      </c>
      <c r="M1054">
        <v>0</v>
      </c>
      <c r="N1054">
        <v>0</v>
      </c>
      <c r="O1054">
        <v>0</v>
      </c>
      <c r="P1054">
        <v>0</v>
      </c>
      <c r="Q1054">
        <v>0</v>
      </c>
      <c r="R1054">
        <v>84</v>
      </c>
      <c r="S1054">
        <v>588</v>
      </c>
      <c r="T1054">
        <v>0</v>
      </c>
      <c r="V1054">
        <v>1</v>
      </c>
      <c r="W1054" t="s">
        <v>1673</v>
      </c>
    </row>
    <row r="1055" spans="1:23" x14ac:dyDescent="0.25">
      <c r="H1055">
        <v>703</v>
      </c>
    </row>
    <row r="1056" spans="1:23" x14ac:dyDescent="0.25">
      <c r="A1056">
        <v>525</v>
      </c>
      <c r="B1056">
        <v>486</v>
      </c>
      <c r="C1056" t="s">
        <v>1676</v>
      </c>
      <c r="D1056" t="s">
        <v>1677</v>
      </c>
      <c r="E1056" t="s">
        <v>1678</v>
      </c>
      <c r="F1056" t="s">
        <v>1679</v>
      </c>
      <c r="G1056" t="str">
        <f>"201402006270"</f>
        <v>201402006270</v>
      </c>
      <c r="H1056" t="s">
        <v>358</v>
      </c>
      <c r="I1056">
        <v>0</v>
      </c>
      <c r="J1056">
        <v>30</v>
      </c>
      <c r="K1056">
        <v>0</v>
      </c>
      <c r="L1056">
        <v>0</v>
      </c>
      <c r="M1056">
        <v>30</v>
      </c>
      <c r="N1056">
        <v>0</v>
      </c>
      <c r="O1056">
        <v>0</v>
      </c>
      <c r="P1056">
        <v>0</v>
      </c>
      <c r="Q1056">
        <v>0</v>
      </c>
      <c r="R1056">
        <v>77</v>
      </c>
      <c r="S1056">
        <v>539</v>
      </c>
      <c r="T1056">
        <v>0</v>
      </c>
      <c r="V1056">
        <v>0</v>
      </c>
      <c r="W1056" t="s">
        <v>1680</v>
      </c>
    </row>
    <row r="1057" spans="1:23" x14ac:dyDescent="0.25">
      <c r="H1057" t="s">
        <v>70</v>
      </c>
    </row>
    <row r="1058" spans="1:23" x14ac:dyDescent="0.25">
      <c r="A1058">
        <v>526</v>
      </c>
      <c r="B1058">
        <v>72</v>
      </c>
      <c r="C1058" t="s">
        <v>1681</v>
      </c>
      <c r="D1058" t="s">
        <v>273</v>
      </c>
      <c r="E1058" t="s">
        <v>76</v>
      </c>
      <c r="F1058" t="s">
        <v>1682</v>
      </c>
      <c r="G1058" t="str">
        <f>"200805001151"</f>
        <v>200805001151</v>
      </c>
      <c r="H1058">
        <v>825</v>
      </c>
      <c r="I1058">
        <v>150</v>
      </c>
      <c r="J1058">
        <v>30</v>
      </c>
      <c r="K1058">
        <v>0</v>
      </c>
      <c r="L1058">
        <v>0</v>
      </c>
      <c r="M1058">
        <v>0</v>
      </c>
      <c r="N1058">
        <v>0</v>
      </c>
      <c r="O1058">
        <v>0</v>
      </c>
      <c r="P1058">
        <v>0</v>
      </c>
      <c r="Q1058">
        <v>0</v>
      </c>
      <c r="R1058">
        <v>84</v>
      </c>
      <c r="S1058">
        <v>588</v>
      </c>
      <c r="T1058">
        <v>0</v>
      </c>
      <c r="V1058">
        <v>0</v>
      </c>
      <c r="W1058">
        <v>1593</v>
      </c>
    </row>
    <row r="1059" spans="1:23" x14ac:dyDescent="0.25">
      <c r="H1059">
        <v>703</v>
      </c>
    </row>
    <row r="1060" spans="1:23" x14ac:dyDescent="0.25">
      <c r="A1060">
        <v>527</v>
      </c>
      <c r="B1060">
        <v>203</v>
      </c>
      <c r="C1060" t="s">
        <v>1683</v>
      </c>
      <c r="D1060" t="s">
        <v>1684</v>
      </c>
      <c r="E1060" t="s">
        <v>113</v>
      </c>
      <c r="F1060" t="s">
        <v>1685</v>
      </c>
      <c r="G1060" t="str">
        <f>"00161757"</f>
        <v>00161757</v>
      </c>
      <c r="H1060">
        <v>825</v>
      </c>
      <c r="I1060">
        <v>150</v>
      </c>
      <c r="J1060">
        <v>30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84</v>
      </c>
      <c r="S1060">
        <v>588</v>
      </c>
      <c r="T1060">
        <v>0</v>
      </c>
      <c r="V1060">
        <v>0</v>
      </c>
      <c r="W1060">
        <v>1593</v>
      </c>
    </row>
    <row r="1061" spans="1:23" x14ac:dyDescent="0.25">
      <c r="H1061">
        <v>703</v>
      </c>
    </row>
    <row r="1062" spans="1:23" x14ac:dyDescent="0.25">
      <c r="A1062">
        <v>528</v>
      </c>
      <c r="B1062">
        <v>1473</v>
      </c>
      <c r="C1062" t="s">
        <v>1686</v>
      </c>
      <c r="D1062" t="s">
        <v>87</v>
      </c>
      <c r="E1062" t="s">
        <v>53</v>
      </c>
      <c r="F1062" t="s">
        <v>1687</v>
      </c>
      <c r="G1062" t="str">
        <f>"00191990"</f>
        <v>00191990</v>
      </c>
      <c r="H1062">
        <v>825</v>
      </c>
      <c r="I1062">
        <v>150</v>
      </c>
      <c r="J1062">
        <v>30</v>
      </c>
      <c r="K1062">
        <v>0</v>
      </c>
      <c r="L1062">
        <v>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84</v>
      </c>
      <c r="S1062">
        <v>588</v>
      </c>
      <c r="T1062">
        <v>0</v>
      </c>
      <c r="V1062">
        <v>0</v>
      </c>
      <c r="W1062">
        <v>1593</v>
      </c>
    </row>
    <row r="1063" spans="1:23" x14ac:dyDescent="0.25">
      <c r="H1063">
        <v>703</v>
      </c>
    </row>
    <row r="1064" spans="1:23" x14ac:dyDescent="0.25">
      <c r="A1064">
        <v>529</v>
      </c>
      <c r="B1064">
        <v>261</v>
      </c>
      <c r="C1064" t="s">
        <v>1688</v>
      </c>
      <c r="D1064" t="s">
        <v>912</v>
      </c>
      <c r="E1064" t="s">
        <v>109</v>
      </c>
      <c r="F1064" t="s">
        <v>1689</v>
      </c>
      <c r="G1064" t="str">
        <f>"00140600"</f>
        <v>00140600</v>
      </c>
      <c r="H1064" t="s">
        <v>1690</v>
      </c>
      <c r="I1064">
        <v>150</v>
      </c>
      <c r="J1064">
        <v>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84</v>
      </c>
      <c r="S1064">
        <v>588</v>
      </c>
      <c r="T1064">
        <v>0</v>
      </c>
      <c r="V1064">
        <v>0</v>
      </c>
      <c r="W1064" t="s">
        <v>1691</v>
      </c>
    </row>
    <row r="1065" spans="1:23" x14ac:dyDescent="0.25">
      <c r="H1065">
        <v>703</v>
      </c>
    </row>
    <row r="1066" spans="1:23" x14ac:dyDescent="0.25">
      <c r="A1066">
        <v>530</v>
      </c>
      <c r="B1066">
        <v>196</v>
      </c>
      <c r="C1066" t="s">
        <v>1692</v>
      </c>
      <c r="D1066" t="s">
        <v>20</v>
      </c>
      <c r="E1066" t="s">
        <v>91</v>
      </c>
      <c r="F1066" t="s">
        <v>1693</v>
      </c>
      <c r="G1066" t="str">
        <f>"00142346"</f>
        <v>00142346</v>
      </c>
      <c r="H1066" t="s">
        <v>622</v>
      </c>
      <c r="I1066">
        <v>0</v>
      </c>
      <c r="J1066">
        <v>30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84</v>
      </c>
      <c r="S1066">
        <v>588</v>
      </c>
      <c r="T1066">
        <v>0</v>
      </c>
      <c r="V1066">
        <v>0</v>
      </c>
      <c r="W1066" t="s">
        <v>1694</v>
      </c>
    </row>
    <row r="1067" spans="1:23" x14ac:dyDescent="0.25">
      <c r="H1067">
        <v>703</v>
      </c>
    </row>
    <row r="1068" spans="1:23" x14ac:dyDescent="0.25">
      <c r="A1068">
        <v>531</v>
      </c>
      <c r="B1068">
        <v>2843</v>
      </c>
      <c r="C1068" t="s">
        <v>1695</v>
      </c>
      <c r="D1068" t="s">
        <v>1696</v>
      </c>
      <c r="E1068" t="s">
        <v>1633</v>
      </c>
      <c r="F1068" t="s">
        <v>1697</v>
      </c>
      <c r="G1068" t="str">
        <f>"201410008889"</f>
        <v>201410008889</v>
      </c>
      <c r="H1068" t="s">
        <v>622</v>
      </c>
      <c r="I1068">
        <v>0</v>
      </c>
      <c r="J1068">
        <v>30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84</v>
      </c>
      <c r="S1068">
        <v>588</v>
      </c>
      <c r="T1068">
        <v>0</v>
      </c>
      <c r="V1068">
        <v>1</v>
      </c>
      <c r="W1068" t="s">
        <v>1694</v>
      </c>
    </row>
    <row r="1069" spans="1:23" x14ac:dyDescent="0.25">
      <c r="H1069">
        <v>703</v>
      </c>
    </row>
    <row r="1070" spans="1:23" x14ac:dyDescent="0.25">
      <c r="A1070">
        <v>532</v>
      </c>
      <c r="B1070">
        <v>1114</v>
      </c>
      <c r="C1070" t="s">
        <v>1698</v>
      </c>
      <c r="D1070" t="s">
        <v>140</v>
      </c>
      <c r="E1070" t="s">
        <v>37</v>
      </c>
      <c r="F1070" t="s">
        <v>1699</v>
      </c>
      <c r="G1070" t="str">
        <f>"201511034454"</f>
        <v>201511034454</v>
      </c>
      <c r="H1070" t="s">
        <v>622</v>
      </c>
      <c r="I1070">
        <v>0</v>
      </c>
      <c r="J1070">
        <v>30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84</v>
      </c>
      <c r="S1070">
        <v>588</v>
      </c>
      <c r="T1070">
        <v>0</v>
      </c>
      <c r="V1070">
        <v>0</v>
      </c>
      <c r="W1070" t="s">
        <v>1694</v>
      </c>
    </row>
    <row r="1071" spans="1:23" x14ac:dyDescent="0.25">
      <c r="H1071">
        <v>703</v>
      </c>
    </row>
    <row r="1072" spans="1:23" x14ac:dyDescent="0.25">
      <c r="A1072">
        <v>533</v>
      </c>
      <c r="B1072">
        <v>1684</v>
      </c>
      <c r="C1072" t="s">
        <v>1700</v>
      </c>
      <c r="D1072" t="s">
        <v>1701</v>
      </c>
      <c r="E1072" t="s">
        <v>1702</v>
      </c>
      <c r="F1072" t="s">
        <v>1703</v>
      </c>
      <c r="G1072" t="str">
        <f>"00138409"</f>
        <v>00138409</v>
      </c>
      <c r="H1072" t="s">
        <v>622</v>
      </c>
      <c r="I1072">
        <v>0</v>
      </c>
      <c r="J1072">
        <v>30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84</v>
      </c>
      <c r="S1072">
        <v>588</v>
      </c>
      <c r="T1072">
        <v>0</v>
      </c>
      <c r="V1072">
        <v>0</v>
      </c>
      <c r="W1072" t="s">
        <v>1694</v>
      </c>
    </row>
    <row r="1073" spans="1:23" x14ac:dyDescent="0.25">
      <c r="H1073">
        <v>703</v>
      </c>
    </row>
    <row r="1074" spans="1:23" x14ac:dyDescent="0.25">
      <c r="A1074">
        <v>534</v>
      </c>
      <c r="B1074">
        <v>2622</v>
      </c>
      <c r="C1074" t="s">
        <v>1704</v>
      </c>
      <c r="D1074" t="s">
        <v>112</v>
      </c>
      <c r="E1074" t="s">
        <v>62</v>
      </c>
      <c r="F1074" t="s">
        <v>1705</v>
      </c>
      <c r="G1074" t="str">
        <f>"200807000161"</f>
        <v>200807000161</v>
      </c>
      <c r="H1074" t="s">
        <v>1706</v>
      </c>
      <c r="I1074">
        <v>150</v>
      </c>
      <c r="J1074">
        <v>70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84</v>
      </c>
      <c r="S1074">
        <v>588</v>
      </c>
      <c r="T1074">
        <v>0</v>
      </c>
      <c r="V1074">
        <v>0</v>
      </c>
      <c r="W1074" t="s">
        <v>1707</v>
      </c>
    </row>
    <row r="1075" spans="1:23" x14ac:dyDescent="0.25">
      <c r="H1075">
        <v>703</v>
      </c>
    </row>
    <row r="1076" spans="1:23" x14ac:dyDescent="0.25">
      <c r="A1076">
        <v>535</v>
      </c>
      <c r="B1076">
        <v>297</v>
      </c>
      <c r="C1076" t="s">
        <v>1708</v>
      </c>
      <c r="D1076" t="s">
        <v>273</v>
      </c>
      <c r="E1076" t="s">
        <v>91</v>
      </c>
      <c r="F1076" t="s">
        <v>1709</v>
      </c>
      <c r="G1076" t="str">
        <f>"200712005538"</f>
        <v>200712005538</v>
      </c>
      <c r="H1076" t="s">
        <v>458</v>
      </c>
      <c r="I1076">
        <v>0</v>
      </c>
      <c r="J1076">
        <v>30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84</v>
      </c>
      <c r="S1076">
        <v>588</v>
      </c>
      <c r="T1076">
        <v>0</v>
      </c>
      <c r="V1076">
        <v>1</v>
      </c>
      <c r="W1076" t="s">
        <v>1710</v>
      </c>
    </row>
    <row r="1077" spans="1:23" x14ac:dyDescent="0.25">
      <c r="H1077">
        <v>703</v>
      </c>
    </row>
    <row r="1078" spans="1:23" x14ac:dyDescent="0.25">
      <c r="A1078">
        <v>536</v>
      </c>
      <c r="B1078">
        <v>2406</v>
      </c>
      <c r="C1078" t="s">
        <v>1305</v>
      </c>
      <c r="D1078" t="s">
        <v>15</v>
      </c>
      <c r="E1078" t="s">
        <v>1633</v>
      </c>
      <c r="F1078" t="s">
        <v>1711</v>
      </c>
      <c r="G1078" t="str">
        <f>"201412000218"</f>
        <v>201412000218</v>
      </c>
      <c r="H1078" t="s">
        <v>1712</v>
      </c>
      <c r="I1078">
        <v>150</v>
      </c>
      <c r="J1078">
        <v>30</v>
      </c>
      <c r="K1078">
        <v>0</v>
      </c>
      <c r="L1078">
        <v>0</v>
      </c>
      <c r="M1078">
        <v>0</v>
      </c>
      <c r="N1078">
        <v>30</v>
      </c>
      <c r="O1078">
        <v>0</v>
      </c>
      <c r="P1078">
        <v>0</v>
      </c>
      <c r="Q1078">
        <v>0</v>
      </c>
      <c r="R1078">
        <v>42</v>
      </c>
      <c r="S1078">
        <v>294</v>
      </c>
      <c r="T1078">
        <v>0</v>
      </c>
      <c r="V1078">
        <v>0</v>
      </c>
      <c r="W1078" t="s">
        <v>1713</v>
      </c>
    </row>
    <row r="1079" spans="1:23" x14ac:dyDescent="0.25">
      <c r="H1079">
        <v>703</v>
      </c>
    </row>
    <row r="1080" spans="1:23" x14ac:dyDescent="0.25">
      <c r="A1080">
        <v>537</v>
      </c>
      <c r="B1080">
        <v>399</v>
      </c>
      <c r="C1080" t="s">
        <v>1714</v>
      </c>
      <c r="D1080" t="s">
        <v>293</v>
      </c>
      <c r="E1080" t="s">
        <v>113</v>
      </c>
      <c r="F1080" t="s">
        <v>1715</v>
      </c>
      <c r="G1080" t="str">
        <f>"200801000551"</f>
        <v>200801000551</v>
      </c>
      <c r="H1080" t="s">
        <v>187</v>
      </c>
      <c r="I1080">
        <v>0</v>
      </c>
      <c r="J1080">
        <v>30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76</v>
      </c>
      <c r="S1080">
        <v>532</v>
      </c>
      <c r="T1080">
        <v>0</v>
      </c>
      <c r="V1080">
        <v>0</v>
      </c>
      <c r="W1080" t="s">
        <v>1716</v>
      </c>
    </row>
    <row r="1081" spans="1:23" x14ac:dyDescent="0.25">
      <c r="H1081">
        <v>703</v>
      </c>
    </row>
    <row r="1082" spans="1:23" x14ac:dyDescent="0.25">
      <c r="A1082">
        <v>538</v>
      </c>
      <c r="B1082">
        <v>1754</v>
      </c>
      <c r="C1082" t="s">
        <v>1305</v>
      </c>
      <c r="D1082" t="s">
        <v>134</v>
      </c>
      <c r="E1082" t="s">
        <v>892</v>
      </c>
      <c r="F1082" t="s">
        <v>1717</v>
      </c>
      <c r="G1082" t="str">
        <f>"201406002267"</f>
        <v>201406002267</v>
      </c>
      <c r="H1082" t="s">
        <v>187</v>
      </c>
      <c r="I1082">
        <v>0</v>
      </c>
      <c r="J1082">
        <v>70</v>
      </c>
      <c r="K1082">
        <v>70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56</v>
      </c>
      <c r="S1082">
        <v>392</v>
      </c>
      <c r="T1082">
        <v>0</v>
      </c>
      <c r="V1082">
        <v>0</v>
      </c>
      <c r="W1082" t="s">
        <v>1716</v>
      </c>
    </row>
    <row r="1083" spans="1:23" x14ac:dyDescent="0.25">
      <c r="H1083" t="s">
        <v>70</v>
      </c>
    </row>
    <row r="1084" spans="1:23" x14ac:dyDescent="0.25">
      <c r="A1084">
        <v>539</v>
      </c>
      <c r="B1084">
        <v>1776</v>
      </c>
      <c r="C1084" t="s">
        <v>1718</v>
      </c>
      <c r="D1084" t="s">
        <v>1719</v>
      </c>
      <c r="E1084" t="s">
        <v>1074</v>
      </c>
      <c r="F1084" t="s">
        <v>1720</v>
      </c>
      <c r="G1084" t="str">
        <f>"201510000903"</f>
        <v>201510000903</v>
      </c>
      <c r="H1084" t="s">
        <v>1359</v>
      </c>
      <c r="I1084">
        <v>150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84</v>
      </c>
      <c r="S1084">
        <v>588</v>
      </c>
      <c r="T1084">
        <v>0</v>
      </c>
      <c r="V1084">
        <v>0</v>
      </c>
      <c r="W1084" t="s">
        <v>1716</v>
      </c>
    </row>
    <row r="1085" spans="1:23" x14ac:dyDescent="0.25">
      <c r="H1085">
        <v>703</v>
      </c>
    </row>
    <row r="1086" spans="1:23" x14ac:dyDescent="0.25">
      <c r="A1086">
        <v>540</v>
      </c>
      <c r="B1086">
        <v>3185</v>
      </c>
      <c r="C1086" t="s">
        <v>1721</v>
      </c>
      <c r="D1086" t="s">
        <v>248</v>
      </c>
      <c r="E1086" t="s">
        <v>129</v>
      </c>
      <c r="F1086" t="s">
        <v>1722</v>
      </c>
      <c r="G1086" t="str">
        <f>"201506004176"</f>
        <v>201506004176</v>
      </c>
      <c r="H1086">
        <v>902</v>
      </c>
      <c r="I1086">
        <v>0</v>
      </c>
      <c r="J1086">
        <v>30</v>
      </c>
      <c r="K1086">
        <v>0</v>
      </c>
      <c r="L1086">
        <v>0</v>
      </c>
      <c r="M1086">
        <v>70</v>
      </c>
      <c r="N1086">
        <v>0</v>
      </c>
      <c r="O1086">
        <v>0</v>
      </c>
      <c r="P1086">
        <v>0</v>
      </c>
      <c r="Q1086">
        <v>0</v>
      </c>
      <c r="R1086">
        <v>84</v>
      </c>
      <c r="S1086">
        <v>588</v>
      </c>
      <c r="T1086">
        <v>0</v>
      </c>
      <c r="V1086">
        <v>0</v>
      </c>
      <c r="W1086">
        <v>1590</v>
      </c>
    </row>
    <row r="1087" spans="1:23" x14ac:dyDescent="0.25">
      <c r="H1087" t="s">
        <v>26</v>
      </c>
    </row>
    <row r="1088" spans="1:23" x14ac:dyDescent="0.25">
      <c r="A1088">
        <v>541</v>
      </c>
      <c r="B1088">
        <v>933</v>
      </c>
      <c r="C1088" t="s">
        <v>1723</v>
      </c>
      <c r="D1088" t="s">
        <v>1724</v>
      </c>
      <c r="E1088" t="s">
        <v>99</v>
      </c>
      <c r="F1088" t="s">
        <v>1725</v>
      </c>
      <c r="G1088" t="str">
        <f>"00143827"</f>
        <v>00143827</v>
      </c>
      <c r="H1088" t="s">
        <v>521</v>
      </c>
      <c r="I1088">
        <v>0</v>
      </c>
      <c r="J1088">
        <v>30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84</v>
      </c>
      <c r="S1088">
        <v>588</v>
      </c>
      <c r="T1088">
        <v>0</v>
      </c>
      <c r="V1088">
        <v>0</v>
      </c>
      <c r="W1088" t="s">
        <v>1726</v>
      </c>
    </row>
    <row r="1089" spans="1:23" x14ac:dyDescent="0.25">
      <c r="H1089">
        <v>703</v>
      </c>
    </row>
    <row r="1090" spans="1:23" x14ac:dyDescent="0.25">
      <c r="A1090">
        <v>542</v>
      </c>
      <c r="B1090">
        <v>2338</v>
      </c>
      <c r="C1090" t="s">
        <v>1727</v>
      </c>
      <c r="D1090" t="s">
        <v>67</v>
      </c>
      <c r="E1090" t="s">
        <v>53</v>
      </c>
      <c r="F1090" t="s">
        <v>1728</v>
      </c>
      <c r="G1090" t="str">
        <f>"200805001339"</f>
        <v>200805001339</v>
      </c>
      <c r="H1090" t="s">
        <v>1017</v>
      </c>
      <c r="I1090">
        <v>150</v>
      </c>
      <c r="J1090">
        <v>70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68</v>
      </c>
      <c r="S1090">
        <v>476</v>
      </c>
      <c r="T1090">
        <v>0</v>
      </c>
      <c r="V1090">
        <v>0</v>
      </c>
      <c r="W1090" t="s">
        <v>1729</v>
      </c>
    </row>
    <row r="1091" spans="1:23" x14ac:dyDescent="0.25">
      <c r="H1091" t="s">
        <v>26</v>
      </c>
    </row>
    <row r="1092" spans="1:23" x14ac:dyDescent="0.25">
      <c r="A1092">
        <v>543</v>
      </c>
      <c r="B1092">
        <v>921</v>
      </c>
      <c r="C1092" t="s">
        <v>1730</v>
      </c>
      <c r="D1092" t="s">
        <v>273</v>
      </c>
      <c r="E1092" t="s">
        <v>76</v>
      </c>
      <c r="F1092" t="s">
        <v>1731</v>
      </c>
      <c r="G1092" t="str">
        <f>"201402010057"</f>
        <v>201402010057</v>
      </c>
      <c r="H1092" t="s">
        <v>408</v>
      </c>
      <c r="I1092">
        <v>0</v>
      </c>
      <c r="J1092">
        <v>70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82</v>
      </c>
      <c r="S1092">
        <v>574</v>
      </c>
      <c r="T1092">
        <v>0</v>
      </c>
      <c r="V1092">
        <v>0</v>
      </c>
      <c r="W1092" t="s">
        <v>1732</v>
      </c>
    </row>
    <row r="1093" spans="1:23" x14ac:dyDescent="0.25">
      <c r="H1093" t="s">
        <v>70</v>
      </c>
    </row>
    <row r="1094" spans="1:23" x14ac:dyDescent="0.25">
      <c r="A1094">
        <v>544</v>
      </c>
      <c r="B1094">
        <v>2799</v>
      </c>
      <c r="C1094" t="s">
        <v>1733</v>
      </c>
      <c r="D1094" t="s">
        <v>1401</v>
      </c>
      <c r="E1094" t="s">
        <v>1734</v>
      </c>
      <c r="F1094" t="s">
        <v>1735</v>
      </c>
      <c r="G1094" t="str">
        <f>"00226339"</f>
        <v>00226339</v>
      </c>
      <c r="H1094" t="s">
        <v>881</v>
      </c>
      <c r="I1094">
        <v>150</v>
      </c>
      <c r="J1094">
        <v>50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48</v>
      </c>
      <c r="S1094">
        <v>336</v>
      </c>
      <c r="T1094">
        <v>0</v>
      </c>
      <c r="V1094">
        <v>2</v>
      </c>
      <c r="W1094" t="s">
        <v>1736</v>
      </c>
    </row>
    <row r="1095" spans="1:23" x14ac:dyDescent="0.25">
      <c r="H1095">
        <v>703</v>
      </c>
    </row>
    <row r="1096" spans="1:23" x14ac:dyDescent="0.25">
      <c r="A1096">
        <v>545</v>
      </c>
      <c r="B1096">
        <v>1243</v>
      </c>
      <c r="C1096" t="s">
        <v>1737</v>
      </c>
      <c r="D1096" t="s">
        <v>1285</v>
      </c>
      <c r="E1096" t="s">
        <v>24</v>
      </c>
      <c r="F1096" t="s">
        <v>1738</v>
      </c>
      <c r="G1096" t="str">
        <f>"201511009245"</f>
        <v>201511009245</v>
      </c>
      <c r="H1096" t="s">
        <v>480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84</v>
      </c>
      <c r="S1096">
        <v>588</v>
      </c>
      <c r="T1096">
        <v>0</v>
      </c>
      <c r="V1096">
        <v>0</v>
      </c>
      <c r="W1096" t="s">
        <v>1739</v>
      </c>
    </row>
    <row r="1097" spans="1:23" x14ac:dyDescent="0.25">
      <c r="H1097">
        <v>703</v>
      </c>
    </row>
    <row r="1098" spans="1:23" x14ac:dyDescent="0.25">
      <c r="A1098">
        <v>546</v>
      </c>
      <c r="B1098">
        <v>767</v>
      </c>
      <c r="C1098" t="s">
        <v>1740</v>
      </c>
      <c r="D1098" t="s">
        <v>325</v>
      </c>
      <c r="E1098" t="s">
        <v>76</v>
      </c>
      <c r="F1098" t="s">
        <v>1741</v>
      </c>
      <c r="G1098" t="str">
        <f>"00144849"</f>
        <v>00144849</v>
      </c>
      <c r="H1098" t="s">
        <v>1742</v>
      </c>
      <c r="I1098">
        <v>150</v>
      </c>
      <c r="J1098">
        <v>70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84</v>
      </c>
      <c r="S1098">
        <v>588</v>
      </c>
      <c r="T1098">
        <v>0</v>
      </c>
      <c r="V1098">
        <v>0</v>
      </c>
      <c r="W1098" t="s">
        <v>1739</v>
      </c>
    </row>
    <row r="1099" spans="1:23" x14ac:dyDescent="0.25">
      <c r="H1099">
        <v>703</v>
      </c>
    </row>
    <row r="1100" spans="1:23" x14ac:dyDescent="0.25">
      <c r="A1100">
        <v>547</v>
      </c>
      <c r="B1100">
        <v>2614</v>
      </c>
      <c r="C1100" t="s">
        <v>1743</v>
      </c>
      <c r="D1100" t="s">
        <v>134</v>
      </c>
      <c r="E1100" t="s">
        <v>79</v>
      </c>
      <c r="F1100" t="s">
        <v>1744</v>
      </c>
      <c r="G1100" t="str">
        <f>"201406001885"</f>
        <v>201406001885</v>
      </c>
      <c r="H1100" t="s">
        <v>1532</v>
      </c>
      <c r="I1100">
        <v>0</v>
      </c>
      <c r="J1100">
        <v>70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84</v>
      </c>
      <c r="S1100">
        <v>588</v>
      </c>
      <c r="T1100">
        <v>0</v>
      </c>
      <c r="V1100">
        <v>0</v>
      </c>
      <c r="W1100" t="s">
        <v>1745</v>
      </c>
    </row>
    <row r="1101" spans="1:23" x14ac:dyDescent="0.25">
      <c r="H1101">
        <v>703</v>
      </c>
    </row>
    <row r="1102" spans="1:23" x14ac:dyDescent="0.25">
      <c r="A1102">
        <v>548</v>
      </c>
      <c r="B1102">
        <v>1757</v>
      </c>
      <c r="C1102" t="s">
        <v>1746</v>
      </c>
      <c r="D1102" t="s">
        <v>109</v>
      </c>
      <c r="E1102" t="s">
        <v>91</v>
      </c>
      <c r="F1102" t="s">
        <v>1747</v>
      </c>
      <c r="G1102" t="str">
        <f>"00014593"</f>
        <v>00014593</v>
      </c>
      <c r="H1102" t="s">
        <v>836</v>
      </c>
      <c r="I1102">
        <v>0</v>
      </c>
      <c r="J1102">
        <v>30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84</v>
      </c>
      <c r="S1102">
        <v>588</v>
      </c>
      <c r="T1102">
        <v>0</v>
      </c>
      <c r="V1102">
        <v>1</v>
      </c>
      <c r="W1102" t="s">
        <v>1748</v>
      </c>
    </row>
    <row r="1103" spans="1:23" x14ac:dyDescent="0.25">
      <c r="H1103">
        <v>703</v>
      </c>
    </row>
    <row r="1104" spans="1:23" x14ac:dyDescent="0.25">
      <c r="A1104">
        <v>549</v>
      </c>
      <c r="B1104">
        <v>1947</v>
      </c>
      <c r="C1104" t="s">
        <v>1749</v>
      </c>
      <c r="D1104" t="s">
        <v>46</v>
      </c>
      <c r="E1104" t="s">
        <v>15</v>
      </c>
      <c r="F1104" t="s">
        <v>1750</v>
      </c>
      <c r="G1104" t="str">
        <f>"00222750"</f>
        <v>00222750</v>
      </c>
      <c r="H1104" t="s">
        <v>836</v>
      </c>
      <c r="I1104">
        <v>0</v>
      </c>
      <c r="J1104">
        <v>30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84</v>
      </c>
      <c r="S1104">
        <v>588</v>
      </c>
      <c r="T1104">
        <v>0</v>
      </c>
      <c r="V1104">
        <v>0</v>
      </c>
      <c r="W1104" t="s">
        <v>1748</v>
      </c>
    </row>
    <row r="1105" spans="1:23" x14ac:dyDescent="0.25">
      <c r="H1105">
        <v>703</v>
      </c>
    </row>
    <row r="1106" spans="1:23" x14ac:dyDescent="0.25">
      <c r="A1106">
        <v>550</v>
      </c>
      <c r="B1106">
        <v>2880</v>
      </c>
      <c r="C1106" t="s">
        <v>1751</v>
      </c>
      <c r="D1106" t="s">
        <v>40</v>
      </c>
      <c r="E1106" t="s">
        <v>227</v>
      </c>
      <c r="F1106" t="s">
        <v>1752</v>
      </c>
      <c r="G1106" t="str">
        <f>"201008000061"</f>
        <v>201008000061</v>
      </c>
      <c r="H1106" t="s">
        <v>836</v>
      </c>
      <c r="I1106">
        <v>0</v>
      </c>
      <c r="J1106">
        <v>30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84</v>
      </c>
      <c r="S1106">
        <v>588</v>
      </c>
      <c r="T1106">
        <v>0</v>
      </c>
      <c r="V1106">
        <v>0</v>
      </c>
      <c r="W1106" t="s">
        <v>1748</v>
      </c>
    </row>
    <row r="1107" spans="1:23" x14ac:dyDescent="0.25">
      <c r="H1107" t="s">
        <v>26</v>
      </c>
    </row>
    <row r="1108" spans="1:23" x14ac:dyDescent="0.25">
      <c r="A1108">
        <v>551</v>
      </c>
      <c r="B1108">
        <v>20</v>
      </c>
      <c r="C1108" t="s">
        <v>1753</v>
      </c>
      <c r="D1108" t="s">
        <v>21</v>
      </c>
      <c r="E1108" t="s">
        <v>350</v>
      </c>
      <c r="F1108" t="s">
        <v>1754</v>
      </c>
      <c r="G1108" t="str">
        <f>"201402005929"</f>
        <v>201402005929</v>
      </c>
      <c r="H1108" t="s">
        <v>662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84</v>
      </c>
      <c r="S1108">
        <v>588</v>
      </c>
      <c r="T1108">
        <v>0</v>
      </c>
      <c r="V1108">
        <v>0</v>
      </c>
      <c r="W1108" t="s">
        <v>1755</v>
      </c>
    </row>
    <row r="1109" spans="1:23" x14ac:dyDescent="0.25">
      <c r="H1109">
        <v>703</v>
      </c>
    </row>
    <row r="1110" spans="1:23" x14ac:dyDescent="0.25">
      <c r="A1110">
        <v>552</v>
      </c>
      <c r="B1110">
        <v>2070</v>
      </c>
      <c r="C1110" t="s">
        <v>1756</v>
      </c>
      <c r="D1110" t="s">
        <v>28</v>
      </c>
      <c r="E1110" t="s">
        <v>91</v>
      </c>
      <c r="F1110" t="s">
        <v>1757</v>
      </c>
      <c r="G1110" t="str">
        <f>"201405000420"</f>
        <v>201405000420</v>
      </c>
      <c r="H1110" t="s">
        <v>583</v>
      </c>
      <c r="I1110">
        <v>150</v>
      </c>
      <c r="J1110">
        <v>50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61</v>
      </c>
      <c r="S1110">
        <v>427</v>
      </c>
      <c r="T1110">
        <v>0</v>
      </c>
      <c r="V1110">
        <v>1</v>
      </c>
      <c r="W1110" t="s">
        <v>1758</v>
      </c>
    </row>
    <row r="1111" spans="1:23" x14ac:dyDescent="0.25">
      <c r="H1111">
        <v>703</v>
      </c>
    </row>
    <row r="1112" spans="1:23" x14ac:dyDescent="0.25">
      <c r="A1112">
        <v>553</v>
      </c>
      <c r="B1112">
        <v>1079</v>
      </c>
      <c r="C1112" t="s">
        <v>1759</v>
      </c>
      <c r="D1112" t="s">
        <v>1760</v>
      </c>
      <c r="E1112" t="s">
        <v>41</v>
      </c>
      <c r="F1112" t="s">
        <v>1761</v>
      </c>
      <c r="G1112" t="str">
        <f>"201002000040"</f>
        <v>201002000040</v>
      </c>
      <c r="H1112">
        <v>847</v>
      </c>
      <c r="I1112">
        <v>150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84</v>
      </c>
      <c r="S1112">
        <v>588</v>
      </c>
      <c r="T1112">
        <v>0</v>
      </c>
      <c r="V1112">
        <v>1</v>
      </c>
      <c r="W1112">
        <v>1585</v>
      </c>
    </row>
    <row r="1113" spans="1:23" x14ac:dyDescent="0.25">
      <c r="H1113">
        <v>703</v>
      </c>
    </row>
    <row r="1114" spans="1:23" x14ac:dyDescent="0.25">
      <c r="A1114">
        <v>554</v>
      </c>
      <c r="B1114">
        <v>872</v>
      </c>
      <c r="C1114" t="s">
        <v>1762</v>
      </c>
      <c r="D1114" t="s">
        <v>1763</v>
      </c>
      <c r="E1114" t="s">
        <v>76</v>
      </c>
      <c r="F1114" t="s">
        <v>1764</v>
      </c>
      <c r="G1114" t="str">
        <f>"200801008197"</f>
        <v>200801008197</v>
      </c>
      <c r="H1114">
        <v>1045</v>
      </c>
      <c r="I1114">
        <v>0</v>
      </c>
      <c r="J1114">
        <v>70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67</v>
      </c>
      <c r="S1114">
        <v>469</v>
      </c>
      <c r="T1114">
        <v>0</v>
      </c>
      <c r="V1114">
        <v>0</v>
      </c>
      <c r="W1114">
        <v>1584</v>
      </c>
    </row>
    <row r="1115" spans="1:23" x14ac:dyDescent="0.25">
      <c r="H1115">
        <v>703</v>
      </c>
    </row>
    <row r="1116" spans="1:23" x14ac:dyDescent="0.25">
      <c r="A1116">
        <v>555</v>
      </c>
      <c r="B1116">
        <v>702</v>
      </c>
      <c r="C1116" t="s">
        <v>1765</v>
      </c>
      <c r="D1116" t="s">
        <v>112</v>
      </c>
      <c r="E1116" t="s">
        <v>76</v>
      </c>
      <c r="F1116" t="s">
        <v>1766</v>
      </c>
      <c r="G1116" t="str">
        <f>"201412003551"</f>
        <v>201412003551</v>
      </c>
      <c r="H1116">
        <v>1012</v>
      </c>
      <c r="I1116">
        <v>150</v>
      </c>
      <c r="J1116">
        <v>70</v>
      </c>
      <c r="K1116">
        <v>0</v>
      </c>
      <c r="L1116">
        <v>30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46</v>
      </c>
      <c r="S1116">
        <v>322</v>
      </c>
      <c r="T1116">
        <v>0</v>
      </c>
      <c r="V1116">
        <v>1</v>
      </c>
      <c r="W1116">
        <v>1584</v>
      </c>
    </row>
    <row r="1117" spans="1:23" x14ac:dyDescent="0.25">
      <c r="H1117" t="s">
        <v>26</v>
      </c>
    </row>
    <row r="1118" spans="1:23" x14ac:dyDescent="0.25">
      <c r="A1118">
        <v>556</v>
      </c>
      <c r="B1118">
        <v>2939</v>
      </c>
      <c r="C1118" t="s">
        <v>1767</v>
      </c>
      <c r="D1118" t="s">
        <v>1768</v>
      </c>
      <c r="E1118" t="s">
        <v>1769</v>
      </c>
      <c r="F1118" t="s">
        <v>1770</v>
      </c>
      <c r="G1118" t="str">
        <f>"00119215"</f>
        <v>00119215</v>
      </c>
      <c r="H1118">
        <v>946</v>
      </c>
      <c r="I1118">
        <v>0</v>
      </c>
      <c r="J1118">
        <v>0</v>
      </c>
      <c r="K1118">
        <v>0</v>
      </c>
      <c r="L1118">
        <v>50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84</v>
      </c>
      <c r="S1118">
        <v>588</v>
      </c>
      <c r="T1118">
        <v>0</v>
      </c>
      <c r="V1118">
        <v>0</v>
      </c>
      <c r="W1118">
        <v>1584</v>
      </c>
    </row>
    <row r="1119" spans="1:23" x14ac:dyDescent="0.25">
      <c r="H1119">
        <v>703</v>
      </c>
    </row>
    <row r="1120" spans="1:23" x14ac:dyDescent="0.25">
      <c r="A1120">
        <v>557</v>
      </c>
      <c r="B1120">
        <v>1614</v>
      </c>
      <c r="C1120" t="s">
        <v>1771</v>
      </c>
      <c r="D1120" t="s">
        <v>105</v>
      </c>
      <c r="E1120" t="s">
        <v>47</v>
      </c>
      <c r="F1120" t="s">
        <v>1772</v>
      </c>
      <c r="G1120" t="str">
        <f>"200902000630"</f>
        <v>200902000630</v>
      </c>
      <c r="H1120" t="s">
        <v>358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84</v>
      </c>
      <c r="S1120">
        <v>588</v>
      </c>
      <c r="T1120">
        <v>0</v>
      </c>
      <c r="V1120">
        <v>2</v>
      </c>
      <c r="W1120" t="s">
        <v>1773</v>
      </c>
    </row>
    <row r="1121" spans="1:23" x14ac:dyDescent="0.25">
      <c r="H1121">
        <v>703</v>
      </c>
    </row>
    <row r="1122" spans="1:23" x14ac:dyDescent="0.25">
      <c r="A1122">
        <v>558</v>
      </c>
      <c r="B1122">
        <v>2758</v>
      </c>
      <c r="C1122" t="s">
        <v>1774</v>
      </c>
      <c r="D1122" t="s">
        <v>28</v>
      </c>
      <c r="E1122" t="s">
        <v>109</v>
      </c>
      <c r="F1122" t="s">
        <v>1775</v>
      </c>
      <c r="G1122" t="str">
        <f>"200712002746"</f>
        <v>200712002746</v>
      </c>
      <c r="H1122" t="s">
        <v>1776</v>
      </c>
      <c r="I1122">
        <v>0</v>
      </c>
      <c r="J1122">
        <v>30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80</v>
      </c>
      <c r="S1122">
        <v>560</v>
      </c>
      <c r="T1122">
        <v>0</v>
      </c>
      <c r="V1122">
        <v>0</v>
      </c>
      <c r="W1122" t="s">
        <v>1777</v>
      </c>
    </row>
    <row r="1123" spans="1:23" x14ac:dyDescent="0.25">
      <c r="H1123" t="s">
        <v>26</v>
      </c>
    </row>
    <row r="1124" spans="1:23" x14ac:dyDescent="0.25">
      <c r="A1124">
        <v>559</v>
      </c>
      <c r="B1124">
        <v>1734</v>
      </c>
      <c r="C1124" t="s">
        <v>1150</v>
      </c>
      <c r="D1124" t="s">
        <v>219</v>
      </c>
      <c r="E1124" t="s">
        <v>326</v>
      </c>
      <c r="F1124" t="s">
        <v>1778</v>
      </c>
      <c r="G1124" t="str">
        <f>"00119109"</f>
        <v>00119109</v>
      </c>
      <c r="H1124">
        <v>1001</v>
      </c>
      <c r="I1124">
        <v>0</v>
      </c>
      <c r="J1124">
        <v>70</v>
      </c>
      <c r="K1124">
        <v>50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66</v>
      </c>
      <c r="S1124">
        <v>462</v>
      </c>
      <c r="T1124">
        <v>0</v>
      </c>
      <c r="V1124">
        <v>0</v>
      </c>
      <c r="W1124">
        <v>1583</v>
      </c>
    </row>
    <row r="1125" spans="1:23" x14ac:dyDescent="0.25">
      <c r="H1125" t="s">
        <v>70</v>
      </c>
    </row>
    <row r="1126" spans="1:23" x14ac:dyDescent="0.25">
      <c r="A1126">
        <v>560</v>
      </c>
      <c r="B1126">
        <v>2149</v>
      </c>
      <c r="C1126" t="s">
        <v>1779</v>
      </c>
      <c r="D1126" t="s">
        <v>91</v>
      </c>
      <c r="E1126" t="s">
        <v>79</v>
      </c>
      <c r="F1126" t="s">
        <v>1780</v>
      </c>
      <c r="G1126" t="str">
        <f>"00001255"</f>
        <v>00001255</v>
      </c>
      <c r="H1126" t="s">
        <v>1556</v>
      </c>
      <c r="I1126">
        <v>150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84</v>
      </c>
      <c r="S1126">
        <v>588</v>
      </c>
      <c r="T1126">
        <v>0</v>
      </c>
      <c r="V1126">
        <v>0</v>
      </c>
      <c r="W1126" t="s">
        <v>1781</v>
      </c>
    </row>
    <row r="1127" spans="1:23" x14ac:dyDescent="0.25">
      <c r="H1127">
        <v>703</v>
      </c>
    </row>
    <row r="1128" spans="1:23" x14ac:dyDescent="0.25">
      <c r="A1128">
        <v>561</v>
      </c>
      <c r="B1128">
        <v>2617</v>
      </c>
      <c r="C1128" t="s">
        <v>1782</v>
      </c>
      <c r="D1128" t="s">
        <v>99</v>
      </c>
      <c r="E1128" t="s">
        <v>105</v>
      </c>
      <c r="F1128" t="s">
        <v>1783</v>
      </c>
      <c r="G1128" t="str">
        <f>"00143691"</f>
        <v>00143691</v>
      </c>
      <c r="H1128" t="s">
        <v>446</v>
      </c>
      <c r="I1128">
        <v>0</v>
      </c>
      <c r="J1128">
        <v>30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84</v>
      </c>
      <c r="S1128">
        <v>588</v>
      </c>
      <c r="T1128">
        <v>0</v>
      </c>
      <c r="V1128">
        <v>0</v>
      </c>
      <c r="W1128" t="s">
        <v>1784</v>
      </c>
    </row>
    <row r="1129" spans="1:23" x14ac:dyDescent="0.25">
      <c r="H1129">
        <v>703</v>
      </c>
    </row>
    <row r="1130" spans="1:23" x14ac:dyDescent="0.25">
      <c r="A1130">
        <v>562</v>
      </c>
      <c r="B1130">
        <v>2398</v>
      </c>
      <c r="C1130" t="s">
        <v>1785</v>
      </c>
      <c r="D1130" t="s">
        <v>28</v>
      </c>
      <c r="E1130" t="s">
        <v>76</v>
      </c>
      <c r="F1130" t="s">
        <v>1786</v>
      </c>
      <c r="G1130" t="str">
        <f>"200802007090"</f>
        <v>200802007090</v>
      </c>
      <c r="H1130" t="s">
        <v>446</v>
      </c>
      <c r="I1130">
        <v>0</v>
      </c>
      <c r="J1130">
        <v>30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84</v>
      </c>
      <c r="S1130">
        <v>588</v>
      </c>
      <c r="T1130">
        <v>0</v>
      </c>
      <c r="V1130">
        <v>1</v>
      </c>
      <c r="W1130" t="s">
        <v>1784</v>
      </c>
    </row>
    <row r="1131" spans="1:23" x14ac:dyDescent="0.25">
      <c r="H1131">
        <v>703</v>
      </c>
    </row>
    <row r="1132" spans="1:23" x14ac:dyDescent="0.25">
      <c r="A1132">
        <v>563</v>
      </c>
      <c r="B1132">
        <v>707</v>
      </c>
      <c r="C1132" t="s">
        <v>1787</v>
      </c>
      <c r="D1132" t="s">
        <v>14</v>
      </c>
      <c r="E1132" t="s">
        <v>105</v>
      </c>
      <c r="F1132" t="s">
        <v>1788</v>
      </c>
      <c r="G1132" t="str">
        <f>"201411003410"</f>
        <v>201411003410</v>
      </c>
      <c r="H1132" t="s">
        <v>363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84</v>
      </c>
      <c r="S1132">
        <v>588</v>
      </c>
      <c r="T1132">
        <v>0</v>
      </c>
      <c r="V1132">
        <v>0</v>
      </c>
      <c r="W1132" t="s">
        <v>1789</v>
      </c>
    </row>
    <row r="1133" spans="1:23" x14ac:dyDescent="0.25">
      <c r="H1133">
        <v>703</v>
      </c>
    </row>
    <row r="1134" spans="1:23" x14ac:dyDescent="0.25">
      <c r="A1134">
        <v>564</v>
      </c>
      <c r="B1134">
        <v>187</v>
      </c>
      <c r="C1134" t="s">
        <v>1790</v>
      </c>
      <c r="D1134" t="s">
        <v>344</v>
      </c>
      <c r="E1134" t="s">
        <v>369</v>
      </c>
      <c r="F1134" t="s">
        <v>1791</v>
      </c>
      <c r="G1134" t="str">
        <f>"00224427"</f>
        <v>00224427</v>
      </c>
      <c r="H1134">
        <v>957</v>
      </c>
      <c r="I1134">
        <v>0</v>
      </c>
      <c r="J1134">
        <v>70</v>
      </c>
      <c r="K1134">
        <v>0</v>
      </c>
      <c r="L1134">
        <v>30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75</v>
      </c>
      <c r="S1134">
        <v>525</v>
      </c>
      <c r="T1134">
        <v>0</v>
      </c>
      <c r="V1134">
        <v>0</v>
      </c>
      <c r="W1134">
        <v>1582</v>
      </c>
    </row>
    <row r="1135" spans="1:23" x14ac:dyDescent="0.25">
      <c r="H1135">
        <v>703</v>
      </c>
    </row>
    <row r="1136" spans="1:23" x14ac:dyDescent="0.25">
      <c r="A1136">
        <v>565</v>
      </c>
      <c r="B1136">
        <v>248</v>
      </c>
      <c r="C1136" t="s">
        <v>1792</v>
      </c>
      <c r="D1136" t="s">
        <v>99</v>
      </c>
      <c r="E1136" t="s">
        <v>41</v>
      </c>
      <c r="F1136" t="s">
        <v>1793</v>
      </c>
      <c r="G1136" t="str">
        <f>"00221812"</f>
        <v>00221812</v>
      </c>
      <c r="H1136">
        <v>924</v>
      </c>
      <c r="I1136">
        <v>0</v>
      </c>
      <c r="J1136">
        <v>70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84</v>
      </c>
      <c r="S1136">
        <v>588</v>
      </c>
      <c r="T1136">
        <v>0</v>
      </c>
      <c r="V1136">
        <v>0</v>
      </c>
      <c r="W1136">
        <v>1582</v>
      </c>
    </row>
    <row r="1137" spans="1:23" x14ac:dyDescent="0.25">
      <c r="H1137">
        <v>703</v>
      </c>
    </row>
    <row r="1138" spans="1:23" x14ac:dyDescent="0.25">
      <c r="A1138">
        <v>566</v>
      </c>
      <c r="B1138">
        <v>2002</v>
      </c>
      <c r="C1138" t="s">
        <v>1291</v>
      </c>
      <c r="D1138" t="s">
        <v>134</v>
      </c>
      <c r="E1138" t="s">
        <v>76</v>
      </c>
      <c r="F1138" t="s">
        <v>1794</v>
      </c>
      <c r="G1138" t="str">
        <f>"201511041383"</f>
        <v>201511041383</v>
      </c>
      <c r="H1138">
        <v>924</v>
      </c>
      <c r="I1138">
        <v>0</v>
      </c>
      <c r="J1138">
        <v>70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84</v>
      </c>
      <c r="S1138">
        <v>588</v>
      </c>
      <c r="T1138">
        <v>0</v>
      </c>
      <c r="V1138">
        <v>0</v>
      </c>
      <c r="W1138">
        <v>1582</v>
      </c>
    </row>
    <row r="1139" spans="1:23" x14ac:dyDescent="0.25">
      <c r="H1139" t="s">
        <v>70</v>
      </c>
    </row>
    <row r="1140" spans="1:23" x14ac:dyDescent="0.25">
      <c r="A1140">
        <v>567</v>
      </c>
      <c r="B1140">
        <v>250</v>
      </c>
      <c r="C1140" t="s">
        <v>1795</v>
      </c>
      <c r="D1140" t="s">
        <v>32</v>
      </c>
      <c r="E1140" t="s">
        <v>15</v>
      </c>
      <c r="F1140" t="s">
        <v>1796</v>
      </c>
      <c r="G1140" t="str">
        <f>"00226504"</f>
        <v>00226504</v>
      </c>
      <c r="H1140">
        <v>814</v>
      </c>
      <c r="I1140">
        <v>150</v>
      </c>
      <c r="J1140">
        <v>30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84</v>
      </c>
      <c r="S1140">
        <v>588</v>
      </c>
      <c r="T1140">
        <v>0</v>
      </c>
      <c r="V1140">
        <v>0</v>
      </c>
      <c r="W1140">
        <v>1582</v>
      </c>
    </row>
    <row r="1141" spans="1:23" x14ac:dyDescent="0.25">
      <c r="H1141">
        <v>703</v>
      </c>
    </row>
    <row r="1142" spans="1:23" x14ac:dyDescent="0.25">
      <c r="A1142">
        <v>568</v>
      </c>
      <c r="B1142">
        <v>1662</v>
      </c>
      <c r="C1142" t="s">
        <v>1797</v>
      </c>
      <c r="D1142" t="s">
        <v>1798</v>
      </c>
      <c r="E1142" t="s">
        <v>109</v>
      </c>
      <c r="F1142" t="s">
        <v>1799</v>
      </c>
      <c r="G1142" t="str">
        <f>"201402000226"</f>
        <v>201402000226</v>
      </c>
      <c r="H1142" t="s">
        <v>1359</v>
      </c>
      <c r="I1142">
        <v>0</v>
      </c>
      <c r="J1142">
        <v>70</v>
      </c>
      <c r="K1142">
        <v>70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84</v>
      </c>
      <c r="S1142">
        <v>588</v>
      </c>
      <c r="T1142">
        <v>0</v>
      </c>
      <c r="V1142">
        <v>0</v>
      </c>
      <c r="W1142" t="s">
        <v>1800</v>
      </c>
    </row>
    <row r="1143" spans="1:23" x14ac:dyDescent="0.25">
      <c r="H1143" t="s">
        <v>70</v>
      </c>
    </row>
    <row r="1144" spans="1:23" x14ac:dyDescent="0.25">
      <c r="A1144">
        <v>569</v>
      </c>
      <c r="B1144">
        <v>2155</v>
      </c>
      <c r="C1144" t="s">
        <v>1801</v>
      </c>
      <c r="D1144" t="s">
        <v>41</v>
      </c>
      <c r="E1144" t="s">
        <v>109</v>
      </c>
      <c r="F1144" t="s">
        <v>1802</v>
      </c>
      <c r="G1144" t="str">
        <f>"201506004159"</f>
        <v>201506004159</v>
      </c>
      <c r="H1144" t="s">
        <v>1803</v>
      </c>
      <c r="I1144">
        <v>150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75</v>
      </c>
      <c r="S1144">
        <v>525</v>
      </c>
      <c r="T1144">
        <v>0</v>
      </c>
      <c r="V1144">
        <v>0</v>
      </c>
      <c r="W1144" t="s">
        <v>1804</v>
      </c>
    </row>
    <row r="1145" spans="1:23" x14ac:dyDescent="0.25">
      <c r="H1145" t="s">
        <v>26</v>
      </c>
    </row>
    <row r="1146" spans="1:23" x14ac:dyDescent="0.25">
      <c r="A1146">
        <v>570</v>
      </c>
      <c r="B1146">
        <v>941</v>
      </c>
      <c r="C1146" t="s">
        <v>1805</v>
      </c>
      <c r="D1146" t="s">
        <v>610</v>
      </c>
      <c r="E1146" t="s">
        <v>76</v>
      </c>
      <c r="F1146" t="s">
        <v>1806</v>
      </c>
      <c r="G1146" t="str">
        <f>"201402004117"</f>
        <v>201402004117</v>
      </c>
      <c r="H1146">
        <v>1001</v>
      </c>
      <c r="I1146">
        <v>0</v>
      </c>
      <c r="J1146">
        <v>30</v>
      </c>
      <c r="K1146">
        <v>30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74</v>
      </c>
      <c r="S1146">
        <v>518</v>
      </c>
      <c r="T1146">
        <v>0</v>
      </c>
      <c r="V1146">
        <v>0</v>
      </c>
      <c r="W1146">
        <v>1579</v>
      </c>
    </row>
    <row r="1147" spans="1:23" x14ac:dyDescent="0.25">
      <c r="H1147" t="s">
        <v>26</v>
      </c>
    </row>
    <row r="1148" spans="1:23" x14ac:dyDescent="0.25">
      <c r="A1148">
        <v>571</v>
      </c>
      <c r="B1148">
        <v>1221</v>
      </c>
      <c r="C1148" t="s">
        <v>1807</v>
      </c>
      <c r="D1148" t="s">
        <v>248</v>
      </c>
      <c r="E1148" t="s">
        <v>21</v>
      </c>
      <c r="F1148" t="s">
        <v>1808</v>
      </c>
      <c r="G1148" t="str">
        <f>"00154360"</f>
        <v>00154360</v>
      </c>
      <c r="H1148">
        <v>990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84</v>
      </c>
      <c r="S1148">
        <v>588</v>
      </c>
      <c r="T1148">
        <v>0</v>
      </c>
      <c r="V1148">
        <v>0</v>
      </c>
      <c r="W1148">
        <v>1578</v>
      </c>
    </row>
    <row r="1149" spans="1:23" x14ac:dyDescent="0.25">
      <c r="H1149">
        <v>703</v>
      </c>
    </row>
    <row r="1150" spans="1:23" x14ac:dyDescent="0.25">
      <c r="A1150">
        <v>572</v>
      </c>
      <c r="B1150">
        <v>1919</v>
      </c>
      <c r="C1150" t="s">
        <v>1809</v>
      </c>
      <c r="D1150" t="s">
        <v>24</v>
      </c>
      <c r="E1150" t="s">
        <v>892</v>
      </c>
      <c r="F1150" t="s">
        <v>1810</v>
      </c>
      <c r="G1150" t="str">
        <f>"200911000505"</f>
        <v>200911000505</v>
      </c>
      <c r="H1150">
        <v>990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84</v>
      </c>
      <c r="S1150">
        <v>588</v>
      </c>
      <c r="T1150">
        <v>0</v>
      </c>
      <c r="V1150">
        <v>1</v>
      </c>
      <c r="W1150">
        <v>1578</v>
      </c>
    </row>
    <row r="1151" spans="1:23" x14ac:dyDescent="0.25">
      <c r="H1151">
        <v>703</v>
      </c>
    </row>
    <row r="1152" spans="1:23" x14ac:dyDescent="0.25">
      <c r="A1152">
        <v>573</v>
      </c>
      <c r="B1152">
        <v>3017</v>
      </c>
      <c r="C1152" t="s">
        <v>1811</v>
      </c>
      <c r="D1152" t="s">
        <v>1812</v>
      </c>
      <c r="E1152" t="s">
        <v>1813</v>
      </c>
      <c r="F1152" t="s">
        <v>1814</v>
      </c>
      <c r="G1152" t="str">
        <f>"00226935"</f>
        <v>00226935</v>
      </c>
      <c r="H1152">
        <v>990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84</v>
      </c>
      <c r="S1152">
        <v>588</v>
      </c>
      <c r="T1152">
        <v>0</v>
      </c>
      <c r="V1152">
        <v>2</v>
      </c>
      <c r="W1152">
        <v>1578</v>
      </c>
    </row>
    <row r="1153" spans="1:23" x14ac:dyDescent="0.25">
      <c r="H1153" t="s">
        <v>26</v>
      </c>
    </row>
    <row r="1154" spans="1:23" x14ac:dyDescent="0.25">
      <c r="A1154">
        <v>574</v>
      </c>
      <c r="B1154">
        <v>2212</v>
      </c>
      <c r="C1154" t="s">
        <v>728</v>
      </c>
      <c r="D1154" t="s">
        <v>1815</v>
      </c>
      <c r="E1154" t="s">
        <v>109</v>
      </c>
      <c r="F1154" t="s">
        <v>1816</v>
      </c>
      <c r="G1154" t="str">
        <f>"200802008645"</f>
        <v>200802008645</v>
      </c>
      <c r="H1154">
        <v>770</v>
      </c>
      <c r="I1154">
        <v>150</v>
      </c>
      <c r="J1154">
        <v>70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84</v>
      </c>
      <c r="S1154">
        <v>588</v>
      </c>
      <c r="T1154">
        <v>0</v>
      </c>
      <c r="V1154">
        <v>0</v>
      </c>
      <c r="W1154">
        <v>1578</v>
      </c>
    </row>
    <row r="1155" spans="1:23" x14ac:dyDescent="0.25">
      <c r="H1155" t="s">
        <v>26</v>
      </c>
    </row>
    <row r="1156" spans="1:23" x14ac:dyDescent="0.25">
      <c r="A1156">
        <v>575</v>
      </c>
      <c r="B1156">
        <v>524</v>
      </c>
      <c r="C1156" t="s">
        <v>1817</v>
      </c>
      <c r="D1156" t="s">
        <v>33</v>
      </c>
      <c r="E1156" t="s">
        <v>1818</v>
      </c>
      <c r="F1156" t="s">
        <v>1819</v>
      </c>
      <c r="G1156" t="str">
        <f>"201511027471"</f>
        <v>201511027471</v>
      </c>
      <c r="H1156" t="s">
        <v>1532</v>
      </c>
      <c r="I1156">
        <v>0</v>
      </c>
      <c r="J1156">
        <v>30</v>
      </c>
      <c r="K1156">
        <v>30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84</v>
      </c>
      <c r="S1156">
        <v>588</v>
      </c>
      <c r="T1156">
        <v>0</v>
      </c>
      <c r="V1156">
        <v>0</v>
      </c>
      <c r="W1156" t="s">
        <v>1820</v>
      </c>
    </row>
    <row r="1157" spans="1:23" x14ac:dyDescent="0.25">
      <c r="H1157" t="s">
        <v>70</v>
      </c>
    </row>
    <row r="1158" spans="1:23" x14ac:dyDescent="0.25">
      <c r="A1158">
        <v>576</v>
      </c>
      <c r="B1158">
        <v>682</v>
      </c>
      <c r="C1158" t="s">
        <v>1821</v>
      </c>
      <c r="D1158" t="s">
        <v>40</v>
      </c>
      <c r="E1158" t="s">
        <v>53</v>
      </c>
      <c r="F1158" t="s">
        <v>1822</v>
      </c>
      <c r="G1158" t="str">
        <f>"00043014"</f>
        <v>00043014</v>
      </c>
      <c r="H1158" t="s">
        <v>1776</v>
      </c>
      <c r="I1158">
        <v>150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62</v>
      </c>
      <c r="S1158">
        <v>434</v>
      </c>
      <c r="T1158">
        <v>0</v>
      </c>
      <c r="V1158">
        <v>0</v>
      </c>
      <c r="W1158" t="s">
        <v>1823</v>
      </c>
    </row>
    <row r="1159" spans="1:23" x14ac:dyDescent="0.25">
      <c r="H1159">
        <v>703</v>
      </c>
    </row>
    <row r="1160" spans="1:23" x14ac:dyDescent="0.25">
      <c r="A1160">
        <v>577</v>
      </c>
      <c r="B1160">
        <v>1525</v>
      </c>
      <c r="C1160" t="s">
        <v>1824</v>
      </c>
      <c r="D1160" t="s">
        <v>53</v>
      </c>
      <c r="E1160" t="s">
        <v>1825</v>
      </c>
      <c r="F1160" t="s">
        <v>1826</v>
      </c>
      <c r="G1160" t="str">
        <f>"200811001055"</f>
        <v>200811001055</v>
      </c>
      <c r="H1160" t="s">
        <v>1827</v>
      </c>
      <c r="I1160">
        <v>150</v>
      </c>
      <c r="J1160">
        <v>30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84</v>
      </c>
      <c r="S1160">
        <v>588</v>
      </c>
      <c r="T1160">
        <v>0</v>
      </c>
      <c r="V1160">
        <v>0</v>
      </c>
      <c r="W1160" t="s">
        <v>1828</v>
      </c>
    </row>
    <row r="1161" spans="1:23" x14ac:dyDescent="0.25">
      <c r="H1161">
        <v>703</v>
      </c>
    </row>
    <row r="1162" spans="1:23" x14ac:dyDescent="0.25">
      <c r="A1162">
        <v>578</v>
      </c>
      <c r="B1162">
        <v>395</v>
      </c>
      <c r="C1162" t="s">
        <v>1829</v>
      </c>
      <c r="D1162" t="s">
        <v>140</v>
      </c>
      <c r="E1162" t="s">
        <v>109</v>
      </c>
      <c r="F1162" t="s">
        <v>1830</v>
      </c>
      <c r="G1162" t="str">
        <f>"00143452"</f>
        <v>00143452</v>
      </c>
      <c r="H1162" t="s">
        <v>174</v>
      </c>
      <c r="I1162">
        <v>150</v>
      </c>
      <c r="J1162">
        <v>30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48</v>
      </c>
      <c r="S1162">
        <v>336</v>
      </c>
      <c r="T1162">
        <v>0</v>
      </c>
      <c r="V1162">
        <v>0</v>
      </c>
      <c r="W1162" t="s">
        <v>1831</v>
      </c>
    </row>
    <row r="1163" spans="1:23" x14ac:dyDescent="0.25">
      <c r="H1163" t="s">
        <v>26</v>
      </c>
    </row>
    <row r="1164" spans="1:23" x14ac:dyDescent="0.25">
      <c r="A1164">
        <v>579</v>
      </c>
      <c r="B1164">
        <v>2330</v>
      </c>
      <c r="C1164" t="s">
        <v>1832</v>
      </c>
      <c r="D1164" t="s">
        <v>52</v>
      </c>
      <c r="E1164" t="s">
        <v>58</v>
      </c>
      <c r="F1164" t="s">
        <v>1833</v>
      </c>
      <c r="G1164" t="str">
        <f>"201511027678"</f>
        <v>201511027678</v>
      </c>
      <c r="H1164" t="s">
        <v>1834</v>
      </c>
      <c r="I1164">
        <v>150</v>
      </c>
      <c r="J1164">
        <v>30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84</v>
      </c>
      <c r="S1164">
        <v>588</v>
      </c>
      <c r="T1164">
        <v>0</v>
      </c>
      <c r="V1164">
        <v>0</v>
      </c>
      <c r="W1164" t="s">
        <v>1835</v>
      </c>
    </row>
    <row r="1165" spans="1:23" x14ac:dyDescent="0.25">
      <c r="H1165" t="s">
        <v>26</v>
      </c>
    </row>
    <row r="1166" spans="1:23" x14ac:dyDescent="0.25">
      <c r="A1166">
        <v>580</v>
      </c>
      <c r="B1166">
        <v>2384</v>
      </c>
      <c r="C1166" t="s">
        <v>1836</v>
      </c>
      <c r="D1166" t="s">
        <v>1837</v>
      </c>
      <c r="E1166" t="s">
        <v>21</v>
      </c>
      <c r="F1166" t="s">
        <v>1838</v>
      </c>
      <c r="G1166" t="str">
        <f>"00220451"</f>
        <v>00220451</v>
      </c>
      <c r="H1166">
        <v>836</v>
      </c>
      <c r="I1166">
        <v>150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84</v>
      </c>
      <c r="S1166">
        <v>588</v>
      </c>
      <c r="T1166">
        <v>0</v>
      </c>
      <c r="V1166">
        <v>1</v>
      </c>
      <c r="W1166">
        <v>1574</v>
      </c>
    </row>
    <row r="1167" spans="1:23" x14ac:dyDescent="0.25">
      <c r="H1167">
        <v>703</v>
      </c>
    </row>
    <row r="1168" spans="1:23" x14ac:dyDescent="0.25">
      <c r="A1168">
        <v>581</v>
      </c>
      <c r="B1168">
        <v>2499</v>
      </c>
      <c r="C1168" t="s">
        <v>1839</v>
      </c>
      <c r="D1168" t="s">
        <v>134</v>
      </c>
      <c r="E1168" t="s">
        <v>21</v>
      </c>
      <c r="F1168" t="s">
        <v>1840</v>
      </c>
      <c r="G1168" t="str">
        <f>"201511022709"</f>
        <v>201511022709</v>
      </c>
      <c r="H1168" t="s">
        <v>1841</v>
      </c>
      <c r="I1168">
        <v>150</v>
      </c>
      <c r="J1168">
        <v>30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61</v>
      </c>
      <c r="S1168">
        <v>427</v>
      </c>
      <c r="T1168">
        <v>0</v>
      </c>
      <c r="V1168">
        <v>1</v>
      </c>
      <c r="W1168" t="s">
        <v>1842</v>
      </c>
    </row>
    <row r="1169" spans="1:23" x14ac:dyDescent="0.25">
      <c r="H1169" t="s">
        <v>70</v>
      </c>
    </row>
    <row r="1170" spans="1:23" x14ac:dyDescent="0.25">
      <c r="A1170">
        <v>582</v>
      </c>
      <c r="B1170">
        <v>3037</v>
      </c>
      <c r="C1170" t="s">
        <v>1313</v>
      </c>
      <c r="D1170" t="s">
        <v>46</v>
      </c>
      <c r="E1170" t="s">
        <v>135</v>
      </c>
      <c r="F1170" t="s">
        <v>1843</v>
      </c>
      <c r="G1170" t="str">
        <f>"201512001324"</f>
        <v>201512001324</v>
      </c>
      <c r="H1170" t="s">
        <v>1844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84</v>
      </c>
      <c r="S1170">
        <v>588</v>
      </c>
      <c r="T1170">
        <v>0</v>
      </c>
      <c r="V1170">
        <v>0</v>
      </c>
      <c r="W1170" t="s">
        <v>1845</v>
      </c>
    </row>
    <row r="1171" spans="1:23" x14ac:dyDescent="0.25">
      <c r="H1171">
        <v>703</v>
      </c>
    </row>
    <row r="1172" spans="1:23" x14ac:dyDescent="0.25">
      <c r="A1172">
        <v>583</v>
      </c>
      <c r="B1172">
        <v>2952</v>
      </c>
      <c r="C1172" t="s">
        <v>1846</v>
      </c>
      <c r="D1172" t="s">
        <v>1847</v>
      </c>
      <c r="E1172" t="s">
        <v>1131</v>
      </c>
      <c r="F1172" t="s">
        <v>1848</v>
      </c>
      <c r="G1172" t="str">
        <f>"00038794"</f>
        <v>00038794</v>
      </c>
      <c r="H1172" t="s">
        <v>465</v>
      </c>
      <c r="I1172">
        <v>0</v>
      </c>
      <c r="J1172">
        <v>70</v>
      </c>
      <c r="K1172">
        <v>30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73</v>
      </c>
      <c r="S1172">
        <v>511</v>
      </c>
      <c r="T1172">
        <v>0</v>
      </c>
      <c r="V1172">
        <v>0</v>
      </c>
      <c r="W1172" t="s">
        <v>1849</v>
      </c>
    </row>
    <row r="1173" spans="1:23" x14ac:dyDescent="0.25">
      <c r="H1173" t="s">
        <v>26</v>
      </c>
    </row>
    <row r="1174" spans="1:23" x14ac:dyDescent="0.25">
      <c r="A1174">
        <v>584</v>
      </c>
      <c r="B1174">
        <v>1434</v>
      </c>
      <c r="C1174" t="s">
        <v>1850</v>
      </c>
      <c r="D1174" t="s">
        <v>87</v>
      </c>
      <c r="E1174" t="s">
        <v>1851</v>
      </c>
      <c r="F1174" t="s">
        <v>1852</v>
      </c>
      <c r="G1174" t="str">
        <f>"201511011243"</f>
        <v>201511011243</v>
      </c>
      <c r="H1174">
        <v>935</v>
      </c>
      <c r="I1174">
        <v>0</v>
      </c>
      <c r="J1174">
        <v>50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84</v>
      </c>
      <c r="S1174">
        <v>588</v>
      </c>
      <c r="T1174">
        <v>0</v>
      </c>
      <c r="V1174">
        <v>0</v>
      </c>
      <c r="W1174">
        <v>1573</v>
      </c>
    </row>
    <row r="1175" spans="1:23" x14ac:dyDescent="0.25">
      <c r="H1175">
        <v>703</v>
      </c>
    </row>
    <row r="1176" spans="1:23" x14ac:dyDescent="0.25">
      <c r="A1176">
        <v>585</v>
      </c>
      <c r="B1176">
        <v>1686</v>
      </c>
      <c r="C1176" t="s">
        <v>1853</v>
      </c>
      <c r="D1176" t="s">
        <v>1854</v>
      </c>
      <c r="E1176" t="s">
        <v>109</v>
      </c>
      <c r="F1176" t="s">
        <v>1855</v>
      </c>
      <c r="G1176" t="str">
        <f>"201402003872"</f>
        <v>201402003872</v>
      </c>
      <c r="H1176">
        <v>935</v>
      </c>
      <c r="I1176">
        <v>0</v>
      </c>
      <c r="J1176">
        <v>50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84</v>
      </c>
      <c r="S1176">
        <v>588</v>
      </c>
      <c r="T1176">
        <v>0</v>
      </c>
      <c r="V1176">
        <v>0</v>
      </c>
      <c r="W1176">
        <v>1573</v>
      </c>
    </row>
    <row r="1177" spans="1:23" x14ac:dyDescent="0.25">
      <c r="H1177" t="s">
        <v>26</v>
      </c>
    </row>
    <row r="1178" spans="1:23" x14ac:dyDescent="0.25">
      <c r="A1178">
        <v>586</v>
      </c>
      <c r="B1178">
        <v>1387</v>
      </c>
      <c r="C1178" t="s">
        <v>1313</v>
      </c>
      <c r="D1178" t="s">
        <v>67</v>
      </c>
      <c r="E1178" t="s">
        <v>53</v>
      </c>
      <c r="F1178" t="s">
        <v>1856</v>
      </c>
      <c r="G1178" t="str">
        <f>"00202298"</f>
        <v>00202298</v>
      </c>
      <c r="H1178" t="s">
        <v>495</v>
      </c>
      <c r="I1178">
        <v>0</v>
      </c>
      <c r="J1178">
        <v>30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84</v>
      </c>
      <c r="S1178">
        <v>588</v>
      </c>
      <c r="T1178">
        <v>0</v>
      </c>
      <c r="V1178">
        <v>0</v>
      </c>
      <c r="W1178" t="s">
        <v>1857</v>
      </c>
    </row>
    <row r="1179" spans="1:23" x14ac:dyDescent="0.25">
      <c r="H1179" t="s">
        <v>70</v>
      </c>
    </row>
    <row r="1180" spans="1:23" x14ac:dyDescent="0.25">
      <c r="A1180">
        <v>587</v>
      </c>
      <c r="B1180">
        <v>1815</v>
      </c>
      <c r="C1180" t="s">
        <v>1858</v>
      </c>
      <c r="D1180" t="s">
        <v>432</v>
      </c>
      <c r="E1180" t="s">
        <v>105</v>
      </c>
      <c r="F1180" t="s">
        <v>1859</v>
      </c>
      <c r="G1180" t="str">
        <f>"201511032399"</f>
        <v>201511032399</v>
      </c>
      <c r="H1180" t="s">
        <v>202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84</v>
      </c>
      <c r="S1180">
        <v>588</v>
      </c>
      <c r="T1180">
        <v>0</v>
      </c>
      <c r="V1180">
        <v>2</v>
      </c>
      <c r="W1180" t="s">
        <v>1860</v>
      </c>
    </row>
    <row r="1181" spans="1:23" x14ac:dyDescent="0.25">
      <c r="H1181">
        <v>703</v>
      </c>
    </row>
    <row r="1182" spans="1:23" x14ac:dyDescent="0.25">
      <c r="A1182">
        <v>588</v>
      </c>
      <c r="B1182">
        <v>2655</v>
      </c>
      <c r="C1182" t="s">
        <v>1861</v>
      </c>
      <c r="D1182" t="s">
        <v>1670</v>
      </c>
      <c r="E1182" t="s">
        <v>53</v>
      </c>
      <c r="F1182" t="s">
        <v>1862</v>
      </c>
      <c r="G1182" t="str">
        <f>"00228520"</f>
        <v>00228520</v>
      </c>
      <c r="H1182" t="s">
        <v>202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84</v>
      </c>
      <c r="S1182">
        <v>588</v>
      </c>
      <c r="T1182">
        <v>0</v>
      </c>
      <c r="V1182">
        <v>1</v>
      </c>
      <c r="W1182" t="s">
        <v>1860</v>
      </c>
    </row>
    <row r="1183" spans="1:23" x14ac:dyDescent="0.25">
      <c r="H1183">
        <v>703</v>
      </c>
    </row>
    <row r="1184" spans="1:23" x14ac:dyDescent="0.25">
      <c r="A1184">
        <v>589</v>
      </c>
      <c r="B1184">
        <v>558</v>
      </c>
      <c r="C1184" t="s">
        <v>1863</v>
      </c>
      <c r="D1184" t="s">
        <v>273</v>
      </c>
      <c r="E1184" t="s">
        <v>91</v>
      </c>
      <c r="F1184" t="s">
        <v>1864</v>
      </c>
      <c r="G1184" t="str">
        <f>"00144066"</f>
        <v>00144066</v>
      </c>
      <c r="H1184">
        <v>924</v>
      </c>
      <c r="I1184">
        <v>0</v>
      </c>
      <c r="J1184">
        <v>30</v>
      </c>
      <c r="K1184">
        <v>30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84</v>
      </c>
      <c r="S1184">
        <v>588</v>
      </c>
      <c r="T1184">
        <v>0</v>
      </c>
      <c r="V1184">
        <v>0</v>
      </c>
      <c r="W1184">
        <v>1572</v>
      </c>
    </row>
    <row r="1185" spans="1:23" x14ac:dyDescent="0.25">
      <c r="H1185" t="s">
        <v>26</v>
      </c>
    </row>
    <row r="1186" spans="1:23" x14ac:dyDescent="0.25">
      <c r="A1186">
        <v>590</v>
      </c>
      <c r="B1186">
        <v>87</v>
      </c>
      <c r="C1186" t="s">
        <v>1865</v>
      </c>
      <c r="D1186" t="s">
        <v>28</v>
      </c>
      <c r="E1186" t="s">
        <v>1613</v>
      </c>
      <c r="F1186" t="s">
        <v>1866</v>
      </c>
      <c r="G1186" t="str">
        <f>"00117352"</f>
        <v>00117352</v>
      </c>
      <c r="H1186">
        <v>924</v>
      </c>
      <c r="I1186">
        <v>0</v>
      </c>
      <c r="J1186">
        <v>30</v>
      </c>
      <c r="K1186">
        <v>0</v>
      </c>
      <c r="L1186">
        <v>0</v>
      </c>
      <c r="M1186">
        <v>30</v>
      </c>
      <c r="N1186">
        <v>0</v>
      </c>
      <c r="O1186">
        <v>0</v>
      </c>
      <c r="P1186">
        <v>0</v>
      </c>
      <c r="Q1186">
        <v>0</v>
      </c>
      <c r="R1186">
        <v>84</v>
      </c>
      <c r="S1186">
        <v>588</v>
      </c>
      <c r="T1186">
        <v>0</v>
      </c>
      <c r="V1186">
        <v>0</v>
      </c>
      <c r="W1186">
        <v>1572</v>
      </c>
    </row>
    <row r="1187" spans="1:23" x14ac:dyDescent="0.25">
      <c r="H1187" t="s">
        <v>70</v>
      </c>
    </row>
    <row r="1188" spans="1:23" x14ac:dyDescent="0.25">
      <c r="A1188">
        <v>591</v>
      </c>
      <c r="B1188">
        <v>1766</v>
      </c>
      <c r="C1188" t="s">
        <v>1867</v>
      </c>
      <c r="D1188" t="s">
        <v>273</v>
      </c>
      <c r="E1188" t="s">
        <v>21</v>
      </c>
      <c r="F1188" t="s">
        <v>1868</v>
      </c>
      <c r="G1188" t="str">
        <f>"00230383"</f>
        <v>00230383</v>
      </c>
      <c r="H1188">
        <v>924</v>
      </c>
      <c r="I1188">
        <v>0</v>
      </c>
      <c r="J1188">
        <v>30</v>
      </c>
      <c r="K1188">
        <v>0</v>
      </c>
      <c r="L1188">
        <v>0</v>
      </c>
      <c r="M1188">
        <v>30</v>
      </c>
      <c r="N1188">
        <v>0</v>
      </c>
      <c r="O1188">
        <v>0</v>
      </c>
      <c r="P1188">
        <v>0</v>
      </c>
      <c r="Q1188">
        <v>0</v>
      </c>
      <c r="R1188">
        <v>84</v>
      </c>
      <c r="S1188">
        <v>588</v>
      </c>
      <c r="T1188">
        <v>0</v>
      </c>
      <c r="V1188">
        <v>0</v>
      </c>
      <c r="W1188">
        <v>1572</v>
      </c>
    </row>
    <row r="1189" spans="1:23" x14ac:dyDescent="0.25">
      <c r="H1189" t="s">
        <v>70</v>
      </c>
    </row>
    <row r="1190" spans="1:23" x14ac:dyDescent="0.25">
      <c r="A1190">
        <v>592</v>
      </c>
      <c r="B1190">
        <v>3043</v>
      </c>
      <c r="C1190" t="s">
        <v>1869</v>
      </c>
      <c r="D1190" t="s">
        <v>293</v>
      </c>
      <c r="E1190" t="s">
        <v>251</v>
      </c>
      <c r="F1190" t="s">
        <v>1870</v>
      </c>
      <c r="G1190" t="str">
        <f>"201402008298"</f>
        <v>201402008298</v>
      </c>
      <c r="H1190">
        <v>990</v>
      </c>
      <c r="I1190">
        <v>0</v>
      </c>
      <c r="J1190">
        <v>70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73</v>
      </c>
      <c r="S1190">
        <v>511</v>
      </c>
      <c r="T1190">
        <v>0</v>
      </c>
      <c r="V1190">
        <v>0</v>
      </c>
      <c r="W1190">
        <v>1571</v>
      </c>
    </row>
    <row r="1191" spans="1:23" x14ac:dyDescent="0.25">
      <c r="H1191">
        <v>703</v>
      </c>
    </row>
    <row r="1192" spans="1:23" x14ac:dyDescent="0.25">
      <c r="A1192">
        <v>593</v>
      </c>
      <c r="B1192">
        <v>1451</v>
      </c>
      <c r="C1192" t="s">
        <v>35</v>
      </c>
      <c r="D1192" t="s">
        <v>194</v>
      </c>
      <c r="E1192" t="s">
        <v>37</v>
      </c>
      <c r="F1192" t="s">
        <v>1871</v>
      </c>
      <c r="G1192" t="str">
        <f>"00025564"</f>
        <v>00025564</v>
      </c>
      <c r="H1192">
        <v>913</v>
      </c>
      <c r="I1192">
        <v>0</v>
      </c>
      <c r="J1192">
        <v>70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84</v>
      </c>
      <c r="S1192">
        <v>588</v>
      </c>
      <c r="T1192">
        <v>0</v>
      </c>
      <c r="V1192">
        <v>0</v>
      </c>
      <c r="W1192">
        <v>1571</v>
      </c>
    </row>
    <row r="1193" spans="1:23" x14ac:dyDescent="0.25">
      <c r="H1193" t="s">
        <v>70</v>
      </c>
    </row>
    <row r="1194" spans="1:23" x14ac:dyDescent="0.25">
      <c r="A1194">
        <v>594</v>
      </c>
      <c r="B1194">
        <v>1271</v>
      </c>
      <c r="C1194" t="s">
        <v>1872</v>
      </c>
      <c r="D1194" t="s">
        <v>40</v>
      </c>
      <c r="E1194" t="s">
        <v>21</v>
      </c>
      <c r="F1194" t="s">
        <v>1873</v>
      </c>
      <c r="G1194" t="str">
        <f>"00158164"</f>
        <v>00158164</v>
      </c>
      <c r="H1194">
        <v>880</v>
      </c>
      <c r="I1194">
        <v>150</v>
      </c>
      <c r="J1194">
        <v>30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73</v>
      </c>
      <c r="S1194">
        <v>511</v>
      </c>
      <c r="T1194">
        <v>0</v>
      </c>
      <c r="V1194">
        <v>0</v>
      </c>
      <c r="W1194">
        <v>1571</v>
      </c>
    </row>
    <row r="1195" spans="1:23" x14ac:dyDescent="0.25">
      <c r="H1195">
        <v>703</v>
      </c>
    </row>
    <row r="1196" spans="1:23" x14ac:dyDescent="0.25">
      <c r="A1196">
        <v>595</v>
      </c>
      <c r="B1196">
        <v>918</v>
      </c>
      <c r="C1196" t="s">
        <v>686</v>
      </c>
      <c r="D1196" t="s">
        <v>248</v>
      </c>
      <c r="E1196" t="s">
        <v>109</v>
      </c>
      <c r="F1196" t="s">
        <v>1874</v>
      </c>
      <c r="G1196" t="str">
        <f>"201406017201"</f>
        <v>201406017201</v>
      </c>
      <c r="H1196" t="s">
        <v>1875</v>
      </c>
      <c r="I1196">
        <v>150</v>
      </c>
      <c r="J1196">
        <v>70</v>
      </c>
      <c r="K1196">
        <v>0</v>
      </c>
      <c r="L1196">
        <v>0</v>
      </c>
      <c r="M1196">
        <v>0</v>
      </c>
      <c r="N1196">
        <v>30</v>
      </c>
      <c r="O1196">
        <v>0</v>
      </c>
      <c r="P1196">
        <v>0</v>
      </c>
      <c r="Q1196">
        <v>0</v>
      </c>
      <c r="R1196">
        <v>84</v>
      </c>
      <c r="S1196">
        <v>588</v>
      </c>
      <c r="T1196">
        <v>0</v>
      </c>
      <c r="V1196">
        <v>3</v>
      </c>
      <c r="W1196" t="s">
        <v>1876</v>
      </c>
    </row>
    <row r="1197" spans="1:23" x14ac:dyDescent="0.25">
      <c r="H1197" t="s">
        <v>70</v>
      </c>
    </row>
    <row r="1198" spans="1:23" x14ac:dyDescent="0.25">
      <c r="A1198">
        <v>596</v>
      </c>
      <c r="B1198">
        <v>1796</v>
      </c>
      <c r="C1198" t="s">
        <v>1877</v>
      </c>
      <c r="D1198" t="s">
        <v>20</v>
      </c>
      <c r="E1198" t="s">
        <v>76</v>
      </c>
      <c r="F1198" t="s">
        <v>1878</v>
      </c>
      <c r="G1198" t="str">
        <f>"201409004895"</f>
        <v>201409004895</v>
      </c>
      <c r="H1198" t="s">
        <v>217</v>
      </c>
      <c r="I1198">
        <v>0</v>
      </c>
      <c r="J1198">
        <v>30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84</v>
      </c>
      <c r="S1198">
        <v>588</v>
      </c>
      <c r="T1198">
        <v>0</v>
      </c>
      <c r="V1198">
        <v>0</v>
      </c>
      <c r="W1198" t="s">
        <v>1879</v>
      </c>
    </row>
    <row r="1199" spans="1:23" x14ac:dyDescent="0.25">
      <c r="H1199">
        <v>703</v>
      </c>
    </row>
    <row r="1200" spans="1:23" x14ac:dyDescent="0.25">
      <c r="A1200">
        <v>597</v>
      </c>
      <c r="B1200">
        <v>772</v>
      </c>
      <c r="C1200" t="s">
        <v>1595</v>
      </c>
      <c r="D1200" t="s">
        <v>1880</v>
      </c>
      <c r="E1200" t="s">
        <v>76</v>
      </c>
      <c r="F1200" t="s">
        <v>1881</v>
      </c>
      <c r="G1200" t="str">
        <f>"00034877"</f>
        <v>00034877</v>
      </c>
      <c r="H1200" t="s">
        <v>217</v>
      </c>
      <c r="I1200">
        <v>0</v>
      </c>
      <c r="J1200">
        <v>30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84</v>
      </c>
      <c r="S1200">
        <v>588</v>
      </c>
      <c r="T1200">
        <v>0</v>
      </c>
      <c r="V1200">
        <v>0</v>
      </c>
      <c r="W1200" t="s">
        <v>1879</v>
      </c>
    </row>
    <row r="1201" spans="1:23" x14ac:dyDescent="0.25">
      <c r="H1201" t="s">
        <v>320</v>
      </c>
    </row>
    <row r="1202" spans="1:23" x14ac:dyDescent="0.25">
      <c r="A1202">
        <v>598</v>
      </c>
      <c r="B1202">
        <v>855</v>
      </c>
      <c r="C1202" t="s">
        <v>1882</v>
      </c>
      <c r="D1202" t="s">
        <v>1883</v>
      </c>
      <c r="E1202" t="s">
        <v>105</v>
      </c>
      <c r="F1202" t="s">
        <v>1884</v>
      </c>
      <c r="G1202" t="str">
        <f>"201511029429"</f>
        <v>201511029429</v>
      </c>
      <c r="H1202" t="s">
        <v>749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84</v>
      </c>
      <c r="S1202">
        <v>588</v>
      </c>
      <c r="T1202">
        <v>0</v>
      </c>
      <c r="V1202">
        <v>0</v>
      </c>
      <c r="W1202" t="s">
        <v>1885</v>
      </c>
    </row>
    <row r="1203" spans="1:23" x14ac:dyDescent="0.25">
      <c r="H1203">
        <v>703</v>
      </c>
    </row>
    <row r="1204" spans="1:23" x14ac:dyDescent="0.25">
      <c r="A1204">
        <v>599</v>
      </c>
      <c r="B1204">
        <v>939</v>
      </c>
      <c r="C1204" t="s">
        <v>225</v>
      </c>
      <c r="D1204" t="s">
        <v>194</v>
      </c>
      <c r="E1204" t="s">
        <v>53</v>
      </c>
      <c r="F1204" t="s">
        <v>1886</v>
      </c>
      <c r="G1204" t="str">
        <f>"201402005691"</f>
        <v>201402005691</v>
      </c>
      <c r="H1204" t="s">
        <v>446</v>
      </c>
      <c r="I1204">
        <v>0</v>
      </c>
      <c r="J1204">
        <v>70</v>
      </c>
      <c r="K1204">
        <v>0</v>
      </c>
      <c r="L1204">
        <v>0</v>
      </c>
      <c r="M1204">
        <v>30</v>
      </c>
      <c r="N1204">
        <v>0</v>
      </c>
      <c r="O1204">
        <v>0</v>
      </c>
      <c r="P1204">
        <v>0</v>
      </c>
      <c r="Q1204">
        <v>0</v>
      </c>
      <c r="R1204">
        <v>72</v>
      </c>
      <c r="S1204">
        <v>504</v>
      </c>
      <c r="T1204">
        <v>0</v>
      </c>
      <c r="V1204">
        <v>0</v>
      </c>
      <c r="W1204" t="s">
        <v>1887</v>
      </c>
    </row>
    <row r="1205" spans="1:23" x14ac:dyDescent="0.25">
      <c r="H1205" t="s">
        <v>26</v>
      </c>
    </row>
    <row r="1206" spans="1:23" x14ac:dyDescent="0.25">
      <c r="A1206">
        <v>600</v>
      </c>
      <c r="B1206">
        <v>2969</v>
      </c>
      <c r="C1206" t="s">
        <v>1888</v>
      </c>
      <c r="D1206" t="s">
        <v>273</v>
      </c>
      <c r="E1206" t="s">
        <v>15</v>
      </c>
      <c r="F1206" t="s">
        <v>1889</v>
      </c>
      <c r="G1206" t="str">
        <f>"00224043"</f>
        <v>00224043</v>
      </c>
      <c r="H1206">
        <v>979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84</v>
      </c>
      <c r="S1206">
        <v>588</v>
      </c>
      <c r="T1206">
        <v>0</v>
      </c>
      <c r="V1206">
        <v>0</v>
      </c>
      <c r="W1206">
        <v>1567</v>
      </c>
    </row>
    <row r="1207" spans="1:23" x14ac:dyDescent="0.25">
      <c r="H1207">
        <v>703</v>
      </c>
    </row>
    <row r="1208" spans="1:23" x14ac:dyDescent="0.25">
      <c r="A1208">
        <v>601</v>
      </c>
      <c r="B1208">
        <v>2974</v>
      </c>
      <c r="C1208" t="s">
        <v>1890</v>
      </c>
      <c r="D1208" t="s">
        <v>226</v>
      </c>
      <c r="E1208" t="s">
        <v>15</v>
      </c>
      <c r="F1208" t="s">
        <v>1891</v>
      </c>
      <c r="G1208" t="str">
        <f>"201002000364"</f>
        <v>201002000364</v>
      </c>
      <c r="H1208" t="s">
        <v>622</v>
      </c>
      <c r="I1208">
        <v>150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63</v>
      </c>
      <c r="S1208">
        <v>441</v>
      </c>
      <c r="T1208">
        <v>0</v>
      </c>
      <c r="V1208">
        <v>0</v>
      </c>
      <c r="W1208" t="s">
        <v>1892</v>
      </c>
    </row>
    <row r="1209" spans="1:23" x14ac:dyDescent="0.25">
      <c r="H1209">
        <v>703</v>
      </c>
    </row>
    <row r="1210" spans="1:23" x14ac:dyDescent="0.25">
      <c r="A1210">
        <v>602</v>
      </c>
      <c r="B1210">
        <v>2539</v>
      </c>
      <c r="C1210" t="s">
        <v>1893</v>
      </c>
      <c r="D1210" t="s">
        <v>194</v>
      </c>
      <c r="E1210" t="s">
        <v>76</v>
      </c>
      <c r="F1210" t="s">
        <v>1894</v>
      </c>
      <c r="G1210" t="str">
        <f>"200802011474"</f>
        <v>200802011474</v>
      </c>
      <c r="H1210" t="s">
        <v>1049</v>
      </c>
      <c r="I1210">
        <v>0</v>
      </c>
      <c r="J1210">
        <v>70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84</v>
      </c>
      <c r="S1210">
        <v>588</v>
      </c>
      <c r="T1210">
        <v>0</v>
      </c>
      <c r="V1210">
        <v>1</v>
      </c>
      <c r="W1210" t="s">
        <v>1895</v>
      </c>
    </row>
    <row r="1211" spans="1:23" x14ac:dyDescent="0.25">
      <c r="H1211">
        <v>703</v>
      </c>
    </row>
    <row r="1212" spans="1:23" x14ac:dyDescent="0.25">
      <c r="A1212">
        <v>603</v>
      </c>
      <c r="B1212">
        <v>2173</v>
      </c>
      <c r="C1212" t="s">
        <v>1896</v>
      </c>
      <c r="D1212" t="s">
        <v>268</v>
      </c>
      <c r="E1212" t="s">
        <v>105</v>
      </c>
      <c r="F1212" t="s">
        <v>1897</v>
      </c>
      <c r="G1212" t="str">
        <f>"00028629"</f>
        <v>00028629</v>
      </c>
      <c r="H1212" t="s">
        <v>1101</v>
      </c>
      <c r="I1212">
        <v>0</v>
      </c>
      <c r="J1212">
        <v>30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73</v>
      </c>
      <c r="S1212">
        <v>511</v>
      </c>
      <c r="T1212">
        <v>0</v>
      </c>
      <c r="V1212">
        <v>0</v>
      </c>
      <c r="W1212" t="s">
        <v>1898</v>
      </c>
    </row>
    <row r="1213" spans="1:23" x14ac:dyDescent="0.25">
      <c r="H1213">
        <v>703</v>
      </c>
    </row>
    <row r="1214" spans="1:23" x14ac:dyDescent="0.25">
      <c r="A1214">
        <v>604</v>
      </c>
      <c r="B1214">
        <v>2237</v>
      </c>
      <c r="C1214" t="s">
        <v>1899</v>
      </c>
      <c r="D1214" t="s">
        <v>112</v>
      </c>
      <c r="E1214" t="s">
        <v>41</v>
      </c>
      <c r="F1214" t="s">
        <v>1900</v>
      </c>
      <c r="G1214" t="str">
        <f>"201511012310"</f>
        <v>201511012310</v>
      </c>
      <c r="H1214" t="s">
        <v>1901</v>
      </c>
      <c r="I1214">
        <v>0</v>
      </c>
      <c r="J1214">
        <v>30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84</v>
      </c>
      <c r="S1214">
        <v>588</v>
      </c>
      <c r="T1214">
        <v>0</v>
      </c>
      <c r="V1214">
        <v>0</v>
      </c>
      <c r="W1214" t="s">
        <v>1898</v>
      </c>
    </row>
    <row r="1215" spans="1:23" x14ac:dyDescent="0.25">
      <c r="H1215" t="s">
        <v>26</v>
      </c>
    </row>
    <row r="1216" spans="1:23" x14ac:dyDescent="0.25">
      <c r="A1216">
        <v>605</v>
      </c>
      <c r="B1216">
        <v>1959</v>
      </c>
      <c r="C1216" t="s">
        <v>1902</v>
      </c>
      <c r="D1216" t="s">
        <v>597</v>
      </c>
      <c r="E1216" t="s">
        <v>109</v>
      </c>
      <c r="F1216" t="s">
        <v>1903</v>
      </c>
      <c r="G1216" t="str">
        <f>"201511014267"</f>
        <v>201511014267</v>
      </c>
      <c r="H1216">
        <v>946</v>
      </c>
      <c r="I1216">
        <v>0</v>
      </c>
      <c r="J1216">
        <v>30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84</v>
      </c>
      <c r="S1216">
        <v>588</v>
      </c>
      <c r="T1216">
        <v>0</v>
      </c>
      <c r="V1216">
        <v>0</v>
      </c>
      <c r="W1216">
        <v>1564</v>
      </c>
    </row>
    <row r="1217" spans="1:23" x14ac:dyDescent="0.25">
      <c r="H1217">
        <v>703</v>
      </c>
    </row>
    <row r="1218" spans="1:23" x14ac:dyDescent="0.25">
      <c r="A1218">
        <v>606</v>
      </c>
      <c r="B1218">
        <v>174</v>
      </c>
      <c r="C1218" t="s">
        <v>1904</v>
      </c>
      <c r="D1218" t="s">
        <v>1905</v>
      </c>
      <c r="E1218" t="s">
        <v>91</v>
      </c>
      <c r="F1218" t="s">
        <v>1906</v>
      </c>
      <c r="G1218" t="str">
        <f>"00142373"</f>
        <v>00142373</v>
      </c>
      <c r="H1218">
        <v>1056</v>
      </c>
      <c r="I1218">
        <v>0</v>
      </c>
      <c r="J1218">
        <v>70</v>
      </c>
      <c r="K1218">
        <v>0</v>
      </c>
      <c r="L1218">
        <v>30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58</v>
      </c>
      <c r="S1218">
        <v>406</v>
      </c>
      <c r="T1218">
        <v>0</v>
      </c>
      <c r="V1218">
        <v>0</v>
      </c>
      <c r="W1218">
        <v>1562</v>
      </c>
    </row>
    <row r="1219" spans="1:23" x14ac:dyDescent="0.25">
      <c r="H1219" t="s">
        <v>70</v>
      </c>
    </row>
    <row r="1220" spans="1:23" x14ac:dyDescent="0.25">
      <c r="A1220">
        <v>607</v>
      </c>
      <c r="B1220">
        <v>2654</v>
      </c>
      <c r="C1220" t="s">
        <v>1907</v>
      </c>
      <c r="D1220" t="s">
        <v>20</v>
      </c>
      <c r="E1220" t="s">
        <v>109</v>
      </c>
      <c r="F1220" t="s">
        <v>1908</v>
      </c>
      <c r="G1220" t="str">
        <f>"201409006177"</f>
        <v>201409006177</v>
      </c>
      <c r="H1220" t="s">
        <v>1909</v>
      </c>
      <c r="I1220">
        <v>0</v>
      </c>
      <c r="J1220">
        <v>70</v>
      </c>
      <c r="K1220">
        <v>0</v>
      </c>
      <c r="L1220">
        <v>50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84</v>
      </c>
      <c r="S1220">
        <v>588</v>
      </c>
      <c r="T1220">
        <v>0</v>
      </c>
      <c r="V1220">
        <v>0</v>
      </c>
      <c r="W1220" t="s">
        <v>1910</v>
      </c>
    </row>
    <row r="1221" spans="1:23" x14ac:dyDescent="0.25">
      <c r="H1221" t="s">
        <v>70</v>
      </c>
    </row>
    <row r="1222" spans="1:23" x14ac:dyDescent="0.25">
      <c r="A1222">
        <v>608</v>
      </c>
      <c r="B1222">
        <v>2514</v>
      </c>
      <c r="C1222" t="s">
        <v>1911</v>
      </c>
      <c r="D1222" t="s">
        <v>105</v>
      </c>
      <c r="E1222" t="s">
        <v>167</v>
      </c>
      <c r="F1222" t="s">
        <v>1912</v>
      </c>
      <c r="G1222" t="str">
        <f>"00017313"</f>
        <v>00017313</v>
      </c>
      <c r="H1222" t="s">
        <v>158</v>
      </c>
      <c r="I1222">
        <v>0</v>
      </c>
      <c r="J1222">
        <v>30</v>
      </c>
      <c r="K1222">
        <v>0</v>
      </c>
      <c r="L1222">
        <v>70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63</v>
      </c>
      <c r="S1222">
        <v>441</v>
      </c>
      <c r="T1222">
        <v>0</v>
      </c>
      <c r="V1222">
        <v>0</v>
      </c>
      <c r="W1222" t="s">
        <v>1913</v>
      </c>
    </row>
    <row r="1223" spans="1:23" x14ac:dyDescent="0.25">
      <c r="H1223" t="s">
        <v>26</v>
      </c>
    </row>
    <row r="1224" spans="1:23" x14ac:dyDescent="0.25">
      <c r="A1224">
        <v>609</v>
      </c>
      <c r="B1224">
        <v>605</v>
      </c>
      <c r="C1224" t="s">
        <v>1914</v>
      </c>
      <c r="D1224" t="s">
        <v>120</v>
      </c>
      <c r="E1224" t="s">
        <v>1633</v>
      </c>
      <c r="F1224" t="s">
        <v>1915</v>
      </c>
      <c r="G1224" t="str">
        <f>"00229976"</f>
        <v>00229976</v>
      </c>
      <c r="H1224">
        <v>990</v>
      </c>
      <c r="I1224">
        <v>150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60</v>
      </c>
      <c r="S1224">
        <v>420</v>
      </c>
      <c r="T1224">
        <v>0</v>
      </c>
      <c r="V1224">
        <v>0</v>
      </c>
      <c r="W1224">
        <v>1560</v>
      </c>
    </row>
    <row r="1225" spans="1:23" x14ac:dyDescent="0.25">
      <c r="H1225" t="s">
        <v>26</v>
      </c>
    </row>
    <row r="1226" spans="1:23" x14ac:dyDescent="0.25">
      <c r="A1226">
        <v>610</v>
      </c>
      <c r="B1226">
        <v>725</v>
      </c>
      <c r="C1226" t="s">
        <v>1916</v>
      </c>
      <c r="D1226" t="s">
        <v>53</v>
      </c>
      <c r="E1226" t="s">
        <v>15</v>
      </c>
      <c r="F1226" t="s">
        <v>1917</v>
      </c>
      <c r="G1226" t="str">
        <f>"201602000143"</f>
        <v>201602000143</v>
      </c>
      <c r="H1226">
        <v>902</v>
      </c>
      <c r="I1226">
        <v>0</v>
      </c>
      <c r="J1226">
        <v>70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84</v>
      </c>
      <c r="S1226">
        <v>588</v>
      </c>
      <c r="T1226">
        <v>0</v>
      </c>
      <c r="V1226">
        <v>0</v>
      </c>
      <c r="W1226">
        <v>1560</v>
      </c>
    </row>
    <row r="1227" spans="1:23" x14ac:dyDescent="0.25">
      <c r="H1227" t="s">
        <v>70</v>
      </c>
    </row>
    <row r="1228" spans="1:23" x14ac:dyDescent="0.25">
      <c r="A1228">
        <v>611</v>
      </c>
      <c r="B1228">
        <v>1374</v>
      </c>
      <c r="C1228" t="s">
        <v>1918</v>
      </c>
      <c r="D1228" t="s">
        <v>1080</v>
      </c>
      <c r="E1228" t="s">
        <v>47</v>
      </c>
      <c r="F1228" t="s">
        <v>1919</v>
      </c>
      <c r="G1228" t="str">
        <f>"200801000830"</f>
        <v>200801000830</v>
      </c>
      <c r="H1228">
        <v>869</v>
      </c>
      <c r="I1228">
        <v>150</v>
      </c>
      <c r="J1228">
        <v>70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30</v>
      </c>
      <c r="Q1228">
        <v>0</v>
      </c>
      <c r="R1228">
        <v>63</v>
      </c>
      <c r="S1228">
        <v>441</v>
      </c>
      <c r="T1228">
        <v>0</v>
      </c>
      <c r="V1228">
        <v>3</v>
      </c>
      <c r="W1228">
        <v>1560</v>
      </c>
    </row>
    <row r="1229" spans="1:23" x14ac:dyDescent="0.25">
      <c r="H1229">
        <v>703</v>
      </c>
    </row>
    <row r="1230" spans="1:23" x14ac:dyDescent="0.25">
      <c r="A1230">
        <v>612</v>
      </c>
      <c r="B1230">
        <v>801</v>
      </c>
      <c r="C1230" t="s">
        <v>1920</v>
      </c>
      <c r="D1230" t="s">
        <v>912</v>
      </c>
      <c r="E1230" t="s">
        <v>41</v>
      </c>
      <c r="F1230" t="s">
        <v>1921</v>
      </c>
      <c r="G1230" t="str">
        <f>"201402006453"</f>
        <v>201402006453</v>
      </c>
      <c r="H1230" t="s">
        <v>131</v>
      </c>
      <c r="I1230">
        <v>0</v>
      </c>
      <c r="J1230">
        <v>30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68</v>
      </c>
      <c r="S1230">
        <v>476</v>
      </c>
      <c r="T1230">
        <v>0</v>
      </c>
      <c r="V1230">
        <v>0</v>
      </c>
      <c r="W1230" t="s">
        <v>1922</v>
      </c>
    </row>
    <row r="1231" spans="1:23" x14ac:dyDescent="0.25">
      <c r="H1231">
        <v>703</v>
      </c>
    </row>
    <row r="1232" spans="1:23" x14ac:dyDescent="0.25">
      <c r="A1232">
        <v>613</v>
      </c>
      <c r="B1232">
        <v>2124</v>
      </c>
      <c r="C1232" t="s">
        <v>1923</v>
      </c>
      <c r="D1232" t="s">
        <v>52</v>
      </c>
      <c r="E1232" t="s">
        <v>109</v>
      </c>
      <c r="F1232" t="s">
        <v>1924</v>
      </c>
      <c r="G1232" t="str">
        <f>"201511007491"</f>
        <v>201511007491</v>
      </c>
      <c r="H1232" t="s">
        <v>521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84</v>
      </c>
      <c r="S1232">
        <v>588</v>
      </c>
      <c r="T1232">
        <v>0</v>
      </c>
      <c r="V1232">
        <v>0</v>
      </c>
      <c r="W1232" t="s">
        <v>1925</v>
      </c>
    </row>
    <row r="1233" spans="1:23" x14ac:dyDescent="0.25">
      <c r="H1233">
        <v>703</v>
      </c>
    </row>
    <row r="1234" spans="1:23" x14ac:dyDescent="0.25">
      <c r="A1234">
        <v>614</v>
      </c>
      <c r="B1234">
        <v>2481</v>
      </c>
      <c r="C1234" t="s">
        <v>1926</v>
      </c>
      <c r="D1234" t="s">
        <v>1401</v>
      </c>
      <c r="E1234" t="s">
        <v>68</v>
      </c>
      <c r="F1234" t="s">
        <v>1927</v>
      </c>
      <c r="G1234" t="str">
        <f>"00118057"</f>
        <v>00118057</v>
      </c>
      <c r="H1234" t="s">
        <v>531</v>
      </c>
      <c r="I1234">
        <v>0</v>
      </c>
      <c r="J1234">
        <v>30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84</v>
      </c>
      <c r="S1234">
        <v>588</v>
      </c>
      <c r="T1234">
        <v>0</v>
      </c>
      <c r="V1234">
        <v>0</v>
      </c>
      <c r="W1234" t="s">
        <v>1928</v>
      </c>
    </row>
    <row r="1235" spans="1:23" x14ac:dyDescent="0.25">
      <c r="H1235" t="s">
        <v>320</v>
      </c>
    </row>
    <row r="1236" spans="1:23" x14ac:dyDescent="0.25">
      <c r="A1236">
        <v>615</v>
      </c>
      <c r="B1236">
        <v>1246</v>
      </c>
      <c r="C1236" t="s">
        <v>1929</v>
      </c>
      <c r="D1236" t="s">
        <v>140</v>
      </c>
      <c r="E1236" t="s">
        <v>76</v>
      </c>
      <c r="F1236" t="s">
        <v>1930</v>
      </c>
      <c r="G1236" t="str">
        <f>"00190815"</f>
        <v>00190815</v>
      </c>
      <c r="H1236" t="s">
        <v>1931</v>
      </c>
      <c r="I1236">
        <v>150</v>
      </c>
      <c r="J1236">
        <v>30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84</v>
      </c>
      <c r="S1236">
        <v>588</v>
      </c>
      <c r="T1236">
        <v>0</v>
      </c>
      <c r="V1236">
        <v>0</v>
      </c>
      <c r="W1236" t="s">
        <v>1932</v>
      </c>
    </row>
    <row r="1237" spans="1:23" x14ac:dyDescent="0.25">
      <c r="H1237">
        <v>703</v>
      </c>
    </row>
    <row r="1238" spans="1:23" x14ac:dyDescent="0.25">
      <c r="A1238">
        <v>616</v>
      </c>
      <c r="B1238">
        <v>2717</v>
      </c>
      <c r="C1238" t="s">
        <v>1933</v>
      </c>
      <c r="D1238" t="s">
        <v>28</v>
      </c>
      <c r="E1238" t="s">
        <v>53</v>
      </c>
      <c r="F1238" t="s">
        <v>1934</v>
      </c>
      <c r="G1238" t="str">
        <f>"00190401"</f>
        <v>00190401</v>
      </c>
      <c r="H1238" t="s">
        <v>1212</v>
      </c>
      <c r="I1238">
        <v>150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84</v>
      </c>
      <c r="S1238">
        <v>588</v>
      </c>
      <c r="T1238">
        <v>0</v>
      </c>
      <c r="V1238">
        <v>2</v>
      </c>
      <c r="W1238" t="s">
        <v>1935</v>
      </c>
    </row>
    <row r="1239" spans="1:23" x14ac:dyDescent="0.25">
      <c r="H1239">
        <v>703</v>
      </c>
    </row>
    <row r="1240" spans="1:23" x14ac:dyDescent="0.25">
      <c r="A1240">
        <v>617</v>
      </c>
      <c r="B1240">
        <v>1905</v>
      </c>
      <c r="C1240" t="s">
        <v>1936</v>
      </c>
      <c r="D1240" t="s">
        <v>46</v>
      </c>
      <c r="E1240" t="s">
        <v>1937</v>
      </c>
      <c r="F1240" t="s">
        <v>1938</v>
      </c>
      <c r="G1240" t="str">
        <f>"201512000585"</f>
        <v>201512000585</v>
      </c>
      <c r="H1240">
        <v>990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81</v>
      </c>
      <c r="S1240">
        <v>567</v>
      </c>
      <c r="T1240">
        <v>0</v>
      </c>
      <c r="V1240">
        <v>2</v>
      </c>
      <c r="W1240">
        <v>1557</v>
      </c>
    </row>
    <row r="1241" spans="1:23" x14ac:dyDescent="0.25">
      <c r="H1241">
        <v>703</v>
      </c>
    </row>
    <row r="1242" spans="1:23" x14ac:dyDescent="0.25">
      <c r="A1242">
        <v>618</v>
      </c>
      <c r="B1242">
        <v>2116</v>
      </c>
      <c r="C1242" t="s">
        <v>1939</v>
      </c>
      <c r="D1242" t="s">
        <v>212</v>
      </c>
      <c r="E1242" t="s">
        <v>24</v>
      </c>
      <c r="F1242" t="s">
        <v>1940</v>
      </c>
      <c r="G1242" t="str">
        <f>"200802004228"</f>
        <v>200802004228</v>
      </c>
      <c r="H1242" t="s">
        <v>446</v>
      </c>
      <c r="I1242">
        <v>0</v>
      </c>
      <c r="J1242">
        <v>30</v>
      </c>
      <c r="K1242">
        <v>30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76</v>
      </c>
      <c r="S1242">
        <v>532</v>
      </c>
      <c r="T1242">
        <v>0</v>
      </c>
      <c r="V1242">
        <v>0</v>
      </c>
      <c r="W1242" t="s">
        <v>1941</v>
      </c>
    </row>
    <row r="1243" spans="1:23" x14ac:dyDescent="0.25">
      <c r="H1243" t="s">
        <v>26</v>
      </c>
    </row>
    <row r="1244" spans="1:23" x14ac:dyDescent="0.25">
      <c r="A1244">
        <v>619</v>
      </c>
      <c r="B1244">
        <v>2428</v>
      </c>
      <c r="C1244" t="s">
        <v>568</v>
      </c>
      <c r="D1244" t="s">
        <v>226</v>
      </c>
      <c r="E1244" t="s">
        <v>62</v>
      </c>
      <c r="F1244" t="s">
        <v>1942</v>
      </c>
      <c r="G1244" t="str">
        <f>"201304006460"</f>
        <v>201304006460</v>
      </c>
      <c r="H1244">
        <v>1001</v>
      </c>
      <c r="I1244">
        <v>0</v>
      </c>
      <c r="J1244">
        <v>70</v>
      </c>
      <c r="K1244">
        <v>30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65</v>
      </c>
      <c r="S1244">
        <v>455</v>
      </c>
      <c r="T1244">
        <v>0</v>
      </c>
      <c r="V1244">
        <v>2</v>
      </c>
      <c r="W1244">
        <v>1556</v>
      </c>
    </row>
    <row r="1245" spans="1:23" x14ac:dyDescent="0.25">
      <c r="H1245" t="s">
        <v>70</v>
      </c>
    </row>
    <row r="1246" spans="1:23" x14ac:dyDescent="0.25">
      <c r="A1246">
        <v>620</v>
      </c>
      <c r="B1246">
        <v>1112</v>
      </c>
      <c r="C1246" t="s">
        <v>296</v>
      </c>
      <c r="D1246" t="s">
        <v>1684</v>
      </c>
      <c r="E1246" t="s">
        <v>24</v>
      </c>
      <c r="F1246" t="s">
        <v>1943</v>
      </c>
      <c r="G1246" t="str">
        <f>"00220356"</f>
        <v>00220356</v>
      </c>
      <c r="H1246" t="s">
        <v>1049</v>
      </c>
      <c r="I1246">
        <v>0</v>
      </c>
      <c r="J1246">
        <v>30</v>
      </c>
      <c r="K1246">
        <v>0</v>
      </c>
      <c r="L1246">
        <v>30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84</v>
      </c>
      <c r="S1246">
        <v>588</v>
      </c>
      <c r="T1246">
        <v>0</v>
      </c>
      <c r="V1246">
        <v>0</v>
      </c>
      <c r="W1246" t="s">
        <v>1944</v>
      </c>
    </row>
    <row r="1247" spans="1:23" x14ac:dyDescent="0.25">
      <c r="H1247">
        <v>703</v>
      </c>
    </row>
    <row r="1248" spans="1:23" x14ac:dyDescent="0.25">
      <c r="A1248">
        <v>621</v>
      </c>
      <c r="B1248">
        <v>3088</v>
      </c>
      <c r="C1248" t="s">
        <v>1945</v>
      </c>
      <c r="D1248" t="s">
        <v>219</v>
      </c>
      <c r="E1248" t="s">
        <v>41</v>
      </c>
      <c r="F1248" t="s">
        <v>1946</v>
      </c>
      <c r="G1248" t="str">
        <f>"201406017313"</f>
        <v>201406017313</v>
      </c>
      <c r="H1248">
        <v>1067</v>
      </c>
      <c r="I1248">
        <v>0</v>
      </c>
      <c r="J1248">
        <v>50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30</v>
      </c>
      <c r="Q1248">
        <v>30</v>
      </c>
      <c r="R1248">
        <v>54</v>
      </c>
      <c r="S1248">
        <v>378</v>
      </c>
      <c r="T1248">
        <v>0</v>
      </c>
      <c r="V1248">
        <v>2</v>
      </c>
      <c r="W1248">
        <v>1555</v>
      </c>
    </row>
    <row r="1249" spans="1:23" x14ac:dyDescent="0.25">
      <c r="H1249" t="s">
        <v>26</v>
      </c>
    </row>
    <row r="1250" spans="1:23" x14ac:dyDescent="0.25">
      <c r="A1250">
        <v>622</v>
      </c>
      <c r="B1250">
        <v>2435</v>
      </c>
      <c r="C1250" t="s">
        <v>1947</v>
      </c>
      <c r="D1250" t="s">
        <v>722</v>
      </c>
      <c r="E1250" t="s">
        <v>523</v>
      </c>
      <c r="F1250" t="s">
        <v>1948</v>
      </c>
      <c r="G1250" t="str">
        <f>"201406016066"</f>
        <v>201406016066</v>
      </c>
      <c r="H1250">
        <v>979</v>
      </c>
      <c r="I1250">
        <v>0</v>
      </c>
      <c r="J1250">
        <v>30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78</v>
      </c>
      <c r="S1250">
        <v>546</v>
      </c>
      <c r="T1250">
        <v>0</v>
      </c>
      <c r="V1250">
        <v>0</v>
      </c>
      <c r="W1250">
        <v>1555</v>
      </c>
    </row>
    <row r="1251" spans="1:23" x14ac:dyDescent="0.25">
      <c r="H1251">
        <v>703</v>
      </c>
    </row>
    <row r="1252" spans="1:23" x14ac:dyDescent="0.25">
      <c r="A1252">
        <v>623</v>
      </c>
      <c r="B1252">
        <v>678</v>
      </c>
      <c r="C1252" t="s">
        <v>1949</v>
      </c>
      <c r="D1252" t="s">
        <v>302</v>
      </c>
      <c r="E1252" t="s">
        <v>53</v>
      </c>
      <c r="F1252" t="s">
        <v>1950</v>
      </c>
      <c r="G1252" t="str">
        <f>"200801000696"</f>
        <v>200801000696</v>
      </c>
      <c r="H1252" t="s">
        <v>1841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84</v>
      </c>
      <c r="S1252">
        <v>588</v>
      </c>
      <c r="T1252">
        <v>0</v>
      </c>
      <c r="V1252">
        <v>0</v>
      </c>
      <c r="W1252" t="s">
        <v>1951</v>
      </c>
    </row>
    <row r="1253" spans="1:23" x14ac:dyDescent="0.25">
      <c r="H1253">
        <v>703</v>
      </c>
    </row>
    <row r="1254" spans="1:23" x14ac:dyDescent="0.25">
      <c r="A1254">
        <v>624</v>
      </c>
      <c r="B1254">
        <v>81</v>
      </c>
      <c r="C1254" t="s">
        <v>1952</v>
      </c>
      <c r="D1254" t="s">
        <v>28</v>
      </c>
      <c r="E1254" t="s">
        <v>53</v>
      </c>
      <c r="F1254" t="s">
        <v>1953</v>
      </c>
      <c r="G1254" t="str">
        <f>"201402012260"</f>
        <v>201402012260</v>
      </c>
      <c r="H1254" t="s">
        <v>1001</v>
      </c>
      <c r="I1254">
        <v>0</v>
      </c>
      <c r="J1254">
        <v>70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84</v>
      </c>
      <c r="S1254">
        <v>588</v>
      </c>
      <c r="T1254">
        <v>0</v>
      </c>
      <c r="V1254">
        <v>0</v>
      </c>
      <c r="W1254" t="s">
        <v>1954</v>
      </c>
    </row>
    <row r="1255" spans="1:23" x14ac:dyDescent="0.25">
      <c r="H1255">
        <v>703</v>
      </c>
    </row>
    <row r="1256" spans="1:23" x14ac:dyDescent="0.25">
      <c r="A1256">
        <v>625</v>
      </c>
      <c r="B1256">
        <v>117</v>
      </c>
      <c r="C1256" t="s">
        <v>1955</v>
      </c>
      <c r="D1256" t="s">
        <v>302</v>
      </c>
      <c r="E1256" t="s">
        <v>433</v>
      </c>
      <c r="F1256" t="s">
        <v>1956</v>
      </c>
      <c r="G1256" t="str">
        <f>"00197116"</f>
        <v>00197116</v>
      </c>
      <c r="H1256" t="s">
        <v>1957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84</v>
      </c>
      <c r="S1256">
        <v>588</v>
      </c>
      <c r="T1256">
        <v>0</v>
      </c>
      <c r="V1256">
        <v>0</v>
      </c>
      <c r="W1256" t="s">
        <v>1958</v>
      </c>
    </row>
    <row r="1257" spans="1:23" x14ac:dyDescent="0.25">
      <c r="H1257">
        <v>703</v>
      </c>
    </row>
    <row r="1258" spans="1:23" x14ac:dyDescent="0.25">
      <c r="A1258">
        <v>626</v>
      </c>
      <c r="B1258">
        <v>3064</v>
      </c>
      <c r="C1258" t="s">
        <v>1959</v>
      </c>
      <c r="D1258" t="s">
        <v>610</v>
      </c>
      <c r="E1258" t="s">
        <v>884</v>
      </c>
      <c r="F1258" t="s">
        <v>1960</v>
      </c>
      <c r="G1258" t="str">
        <f>"00025140"</f>
        <v>00025140</v>
      </c>
      <c r="H1258" t="s">
        <v>1957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84</v>
      </c>
      <c r="S1258">
        <v>588</v>
      </c>
      <c r="T1258">
        <v>0</v>
      </c>
      <c r="V1258">
        <v>0</v>
      </c>
      <c r="W1258" t="s">
        <v>1958</v>
      </c>
    </row>
    <row r="1259" spans="1:23" x14ac:dyDescent="0.25">
      <c r="H1259">
        <v>703</v>
      </c>
    </row>
    <row r="1260" spans="1:23" x14ac:dyDescent="0.25">
      <c r="A1260">
        <v>627</v>
      </c>
      <c r="B1260">
        <v>135</v>
      </c>
      <c r="C1260" t="s">
        <v>1961</v>
      </c>
      <c r="D1260" t="s">
        <v>273</v>
      </c>
      <c r="E1260" t="s">
        <v>350</v>
      </c>
      <c r="F1260" t="s">
        <v>1962</v>
      </c>
      <c r="G1260" t="str">
        <f>"200801003426"</f>
        <v>200801003426</v>
      </c>
      <c r="H1260" t="s">
        <v>158</v>
      </c>
      <c r="I1260">
        <v>0</v>
      </c>
      <c r="J1260">
        <v>70</v>
      </c>
      <c r="K1260">
        <v>0</v>
      </c>
      <c r="L1260">
        <v>30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62</v>
      </c>
      <c r="S1260">
        <v>434</v>
      </c>
      <c r="T1260">
        <v>0</v>
      </c>
      <c r="V1260">
        <v>0</v>
      </c>
      <c r="W1260" t="s">
        <v>1963</v>
      </c>
    </row>
    <row r="1261" spans="1:23" x14ac:dyDescent="0.25">
      <c r="H1261" t="s">
        <v>70</v>
      </c>
    </row>
    <row r="1262" spans="1:23" x14ac:dyDescent="0.25">
      <c r="A1262">
        <v>628</v>
      </c>
      <c r="B1262">
        <v>3159</v>
      </c>
      <c r="C1262" t="s">
        <v>1964</v>
      </c>
      <c r="D1262" t="s">
        <v>1965</v>
      </c>
      <c r="E1262" t="s">
        <v>135</v>
      </c>
      <c r="F1262" t="s">
        <v>1966</v>
      </c>
      <c r="G1262" t="str">
        <f>"201511033186"</f>
        <v>201511033186</v>
      </c>
      <c r="H1262" t="s">
        <v>1241</v>
      </c>
      <c r="I1262">
        <v>150</v>
      </c>
      <c r="J1262">
        <v>50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67</v>
      </c>
      <c r="S1262">
        <v>469</v>
      </c>
      <c r="T1262">
        <v>0</v>
      </c>
      <c r="V1262">
        <v>0</v>
      </c>
      <c r="W1262" t="s">
        <v>1967</v>
      </c>
    </row>
    <row r="1263" spans="1:23" x14ac:dyDescent="0.25">
      <c r="H1263">
        <v>703</v>
      </c>
    </row>
    <row r="1264" spans="1:23" x14ac:dyDescent="0.25">
      <c r="A1264">
        <v>629</v>
      </c>
      <c r="B1264">
        <v>1710</v>
      </c>
      <c r="C1264" t="s">
        <v>1968</v>
      </c>
      <c r="D1264" t="s">
        <v>105</v>
      </c>
      <c r="E1264" t="s">
        <v>53</v>
      </c>
      <c r="F1264" t="s">
        <v>1969</v>
      </c>
      <c r="G1264" t="str">
        <f>"201504001277"</f>
        <v>201504001277</v>
      </c>
      <c r="H1264" t="s">
        <v>1970</v>
      </c>
      <c r="I1264">
        <v>150</v>
      </c>
      <c r="J1264">
        <v>50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50</v>
      </c>
      <c r="Q1264">
        <v>0</v>
      </c>
      <c r="R1264">
        <v>60</v>
      </c>
      <c r="S1264">
        <v>420</v>
      </c>
      <c r="T1264">
        <v>0</v>
      </c>
      <c r="V1264">
        <v>0</v>
      </c>
      <c r="W1264" t="s">
        <v>1971</v>
      </c>
    </row>
    <row r="1265" spans="1:23" x14ac:dyDescent="0.25">
      <c r="H1265">
        <v>703</v>
      </c>
    </row>
    <row r="1266" spans="1:23" x14ac:dyDescent="0.25">
      <c r="A1266">
        <v>630</v>
      </c>
      <c r="B1266">
        <v>2483</v>
      </c>
      <c r="C1266" t="s">
        <v>1972</v>
      </c>
      <c r="D1266" t="s">
        <v>140</v>
      </c>
      <c r="E1266" t="s">
        <v>76</v>
      </c>
      <c r="F1266" t="s">
        <v>1973</v>
      </c>
      <c r="G1266" t="str">
        <f>"200805001331"</f>
        <v>200805001331</v>
      </c>
      <c r="H1266">
        <v>1100</v>
      </c>
      <c r="I1266">
        <v>150</v>
      </c>
      <c r="J1266">
        <v>0</v>
      </c>
      <c r="K1266">
        <v>0</v>
      </c>
      <c r="L1266">
        <v>0</v>
      </c>
      <c r="M1266">
        <v>30</v>
      </c>
      <c r="N1266">
        <v>0</v>
      </c>
      <c r="O1266">
        <v>0</v>
      </c>
      <c r="P1266">
        <v>0</v>
      </c>
      <c r="Q1266">
        <v>0</v>
      </c>
      <c r="R1266">
        <v>39</v>
      </c>
      <c r="S1266">
        <v>273</v>
      </c>
      <c r="T1266">
        <v>0</v>
      </c>
      <c r="V1266">
        <v>0</v>
      </c>
      <c r="W1266">
        <v>1553</v>
      </c>
    </row>
    <row r="1267" spans="1:23" x14ac:dyDescent="0.25">
      <c r="H1267" t="s">
        <v>70</v>
      </c>
    </row>
    <row r="1268" spans="1:23" x14ac:dyDescent="0.25">
      <c r="A1268">
        <v>631</v>
      </c>
      <c r="B1268">
        <v>3057</v>
      </c>
      <c r="C1268" t="s">
        <v>1683</v>
      </c>
      <c r="D1268" t="s">
        <v>105</v>
      </c>
      <c r="E1268" t="s">
        <v>76</v>
      </c>
      <c r="F1268" t="s">
        <v>1974</v>
      </c>
      <c r="G1268" t="str">
        <f>"200802008800"</f>
        <v>200802008800</v>
      </c>
      <c r="H1268">
        <v>935</v>
      </c>
      <c r="I1268">
        <v>0</v>
      </c>
      <c r="J1268">
        <v>30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84</v>
      </c>
      <c r="S1268">
        <v>588</v>
      </c>
      <c r="T1268">
        <v>0</v>
      </c>
      <c r="V1268">
        <v>0</v>
      </c>
      <c r="W1268">
        <v>1553</v>
      </c>
    </row>
    <row r="1269" spans="1:23" x14ac:dyDescent="0.25">
      <c r="H1269">
        <v>703</v>
      </c>
    </row>
    <row r="1270" spans="1:23" x14ac:dyDescent="0.25">
      <c r="A1270">
        <v>632</v>
      </c>
      <c r="B1270">
        <v>484</v>
      </c>
      <c r="C1270" t="s">
        <v>1975</v>
      </c>
      <c r="D1270" t="s">
        <v>91</v>
      </c>
      <c r="E1270" t="s">
        <v>41</v>
      </c>
      <c r="F1270" t="s">
        <v>1976</v>
      </c>
      <c r="G1270" t="str">
        <f>"201412006866"</f>
        <v>201412006866</v>
      </c>
      <c r="H1270">
        <v>935</v>
      </c>
      <c r="I1270">
        <v>0</v>
      </c>
      <c r="J1270">
        <v>30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84</v>
      </c>
      <c r="S1270">
        <v>588</v>
      </c>
      <c r="T1270">
        <v>0</v>
      </c>
      <c r="V1270">
        <v>2</v>
      </c>
      <c r="W1270">
        <v>1553</v>
      </c>
    </row>
    <row r="1271" spans="1:23" x14ac:dyDescent="0.25">
      <c r="H1271">
        <v>703</v>
      </c>
    </row>
    <row r="1272" spans="1:23" x14ac:dyDescent="0.25">
      <c r="A1272">
        <v>633</v>
      </c>
      <c r="B1272">
        <v>2166</v>
      </c>
      <c r="C1272" t="s">
        <v>1977</v>
      </c>
      <c r="D1272" t="s">
        <v>1978</v>
      </c>
      <c r="E1272" t="s">
        <v>76</v>
      </c>
      <c r="F1272" t="s">
        <v>1979</v>
      </c>
      <c r="G1272" t="str">
        <f>"201511014778"</f>
        <v>201511014778</v>
      </c>
      <c r="H1272" t="s">
        <v>1706</v>
      </c>
      <c r="I1272">
        <v>150</v>
      </c>
      <c r="J1272">
        <v>30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84</v>
      </c>
      <c r="S1272">
        <v>588</v>
      </c>
      <c r="T1272">
        <v>0</v>
      </c>
      <c r="V1272">
        <v>0</v>
      </c>
      <c r="W1272" t="s">
        <v>1980</v>
      </c>
    </row>
    <row r="1273" spans="1:23" x14ac:dyDescent="0.25">
      <c r="H1273" t="s">
        <v>26</v>
      </c>
    </row>
    <row r="1274" spans="1:23" x14ac:dyDescent="0.25">
      <c r="A1274">
        <v>634</v>
      </c>
      <c r="B1274">
        <v>993</v>
      </c>
      <c r="C1274" t="s">
        <v>1279</v>
      </c>
      <c r="D1274" t="s">
        <v>14</v>
      </c>
      <c r="E1274" t="s">
        <v>21</v>
      </c>
      <c r="F1274" t="s">
        <v>1981</v>
      </c>
      <c r="G1274" t="str">
        <f>"00052031"</f>
        <v>00052031</v>
      </c>
      <c r="H1274" t="s">
        <v>1982</v>
      </c>
      <c r="I1274">
        <v>150</v>
      </c>
      <c r="J1274">
        <v>30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84</v>
      </c>
      <c r="S1274">
        <v>588</v>
      </c>
      <c r="T1274">
        <v>0</v>
      </c>
      <c r="V1274">
        <v>2</v>
      </c>
      <c r="W1274" t="s">
        <v>1983</v>
      </c>
    </row>
    <row r="1275" spans="1:23" x14ac:dyDescent="0.25">
      <c r="H1275" t="s">
        <v>1984</v>
      </c>
    </row>
    <row r="1276" spans="1:23" x14ac:dyDescent="0.25">
      <c r="A1276">
        <v>635</v>
      </c>
      <c r="B1276">
        <v>59</v>
      </c>
      <c r="C1276" t="s">
        <v>1396</v>
      </c>
      <c r="D1276" t="s">
        <v>185</v>
      </c>
      <c r="E1276" t="s">
        <v>53</v>
      </c>
      <c r="F1276" t="s">
        <v>1985</v>
      </c>
      <c r="G1276" t="str">
        <f>"201303000884"</f>
        <v>201303000884</v>
      </c>
      <c r="H1276">
        <v>770</v>
      </c>
      <c r="I1276">
        <v>150</v>
      </c>
      <c r="J1276">
        <v>70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80</v>
      </c>
      <c r="S1276">
        <v>560</v>
      </c>
      <c r="T1276">
        <v>0</v>
      </c>
      <c r="V1276">
        <v>0</v>
      </c>
      <c r="W1276">
        <v>1550</v>
      </c>
    </row>
    <row r="1277" spans="1:23" x14ac:dyDescent="0.25">
      <c r="H1277" t="s">
        <v>70</v>
      </c>
    </row>
    <row r="1278" spans="1:23" x14ac:dyDescent="0.25">
      <c r="A1278">
        <v>636</v>
      </c>
      <c r="B1278">
        <v>2998</v>
      </c>
      <c r="C1278" t="s">
        <v>1986</v>
      </c>
      <c r="D1278" t="s">
        <v>1987</v>
      </c>
      <c r="E1278" t="s">
        <v>53</v>
      </c>
      <c r="F1278" t="s">
        <v>1988</v>
      </c>
      <c r="G1278" t="str">
        <f>"00015471"</f>
        <v>00015471</v>
      </c>
      <c r="H1278" t="s">
        <v>1989</v>
      </c>
      <c r="I1278">
        <v>150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84</v>
      </c>
      <c r="S1278">
        <v>588</v>
      </c>
      <c r="T1278">
        <v>0</v>
      </c>
      <c r="V1278">
        <v>0</v>
      </c>
      <c r="W1278" t="s">
        <v>1990</v>
      </c>
    </row>
    <row r="1279" spans="1:23" x14ac:dyDescent="0.25">
      <c r="H1279">
        <v>703</v>
      </c>
    </row>
    <row r="1280" spans="1:23" x14ac:dyDescent="0.25">
      <c r="A1280">
        <v>637</v>
      </c>
      <c r="B1280">
        <v>1951</v>
      </c>
      <c r="C1280" t="s">
        <v>1991</v>
      </c>
      <c r="D1280" t="s">
        <v>15</v>
      </c>
      <c r="E1280" t="s">
        <v>76</v>
      </c>
      <c r="F1280" t="s">
        <v>1992</v>
      </c>
      <c r="G1280" t="str">
        <f>"00006015"</f>
        <v>00006015</v>
      </c>
      <c r="H1280">
        <v>880</v>
      </c>
      <c r="I1280">
        <v>0</v>
      </c>
      <c r="J1280">
        <v>50</v>
      </c>
      <c r="K1280">
        <v>30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84</v>
      </c>
      <c r="S1280">
        <v>588</v>
      </c>
      <c r="T1280">
        <v>0</v>
      </c>
      <c r="V1280">
        <v>0</v>
      </c>
      <c r="W1280">
        <v>1548</v>
      </c>
    </row>
    <row r="1281" spans="1:23" x14ac:dyDescent="0.25">
      <c r="H1281" t="s">
        <v>26</v>
      </c>
    </row>
    <row r="1282" spans="1:23" x14ac:dyDescent="0.25">
      <c r="A1282">
        <v>638</v>
      </c>
      <c r="B1282">
        <v>2547</v>
      </c>
      <c r="C1282" t="s">
        <v>1993</v>
      </c>
      <c r="D1282" t="s">
        <v>46</v>
      </c>
      <c r="E1282" t="s">
        <v>68</v>
      </c>
      <c r="F1282">
        <v>865861</v>
      </c>
      <c r="G1282" t="str">
        <f>"00087864"</f>
        <v>00087864</v>
      </c>
      <c r="H1282">
        <v>869</v>
      </c>
      <c r="I1282">
        <v>0</v>
      </c>
      <c r="J1282">
        <v>70</v>
      </c>
      <c r="K1282">
        <v>70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77</v>
      </c>
      <c r="S1282">
        <v>539</v>
      </c>
      <c r="T1282">
        <v>0</v>
      </c>
      <c r="V1282">
        <v>0</v>
      </c>
      <c r="W1282">
        <v>1548</v>
      </c>
    </row>
    <row r="1283" spans="1:23" x14ac:dyDescent="0.25">
      <c r="H1283" t="s">
        <v>26</v>
      </c>
    </row>
    <row r="1284" spans="1:23" x14ac:dyDescent="0.25">
      <c r="A1284">
        <v>639</v>
      </c>
      <c r="B1284">
        <v>2417</v>
      </c>
      <c r="C1284" t="s">
        <v>1994</v>
      </c>
      <c r="D1284" t="s">
        <v>1995</v>
      </c>
      <c r="E1284" t="s">
        <v>1996</v>
      </c>
      <c r="F1284" t="s">
        <v>1997</v>
      </c>
      <c r="G1284" t="str">
        <f>"00005823"</f>
        <v>00005823</v>
      </c>
      <c r="H1284" t="s">
        <v>574</v>
      </c>
      <c r="I1284">
        <v>0</v>
      </c>
      <c r="J1284">
        <v>50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84</v>
      </c>
      <c r="S1284">
        <v>588</v>
      </c>
      <c r="T1284">
        <v>0</v>
      </c>
      <c r="V1284">
        <v>1</v>
      </c>
      <c r="W1284" t="s">
        <v>1998</v>
      </c>
    </row>
    <row r="1285" spans="1:23" x14ac:dyDescent="0.25">
      <c r="H1285">
        <v>703</v>
      </c>
    </row>
    <row r="1286" spans="1:23" x14ac:dyDescent="0.25">
      <c r="A1286">
        <v>640</v>
      </c>
      <c r="B1286">
        <v>561</v>
      </c>
      <c r="C1286" t="s">
        <v>1999</v>
      </c>
      <c r="D1286" t="s">
        <v>2000</v>
      </c>
      <c r="E1286" t="s">
        <v>62</v>
      </c>
      <c r="F1286" t="s">
        <v>2001</v>
      </c>
      <c r="G1286" t="str">
        <f>"201511035100"</f>
        <v>201511035100</v>
      </c>
      <c r="H1286" t="s">
        <v>1532</v>
      </c>
      <c r="I1286">
        <v>0</v>
      </c>
      <c r="J1286">
        <v>30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84</v>
      </c>
      <c r="S1286">
        <v>588</v>
      </c>
      <c r="T1286">
        <v>0</v>
      </c>
      <c r="V1286">
        <v>0</v>
      </c>
      <c r="W1286" t="s">
        <v>2002</v>
      </c>
    </row>
    <row r="1287" spans="1:23" x14ac:dyDescent="0.25">
      <c r="H1287" t="s">
        <v>26</v>
      </c>
    </row>
    <row r="1288" spans="1:23" x14ac:dyDescent="0.25">
      <c r="A1288">
        <v>641</v>
      </c>
      <c r="B1288">
        <v>1688</v>
      </c>
      <c r="C1288" t="s">
        <v>923</v>
      </c>
      <c r="D1288" t="s">
        <v>302</v>
      </c>
      <c r="E1288" t="s">
        <v>109</v>
      </c>
      <c r="F1288" t="s">
        <v>2003</v>
      </c>
      <c r="G1288" t="str">
        <f>"00225023"</f>
        <v>00225023</v>
      </c>
      <c r="H1288" t="s">
        <v>583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84</v>
      </c>
      <c r="S1288">
        <v>588</v>
      </c>
      <c r="T1288">
        <v>0</v>
      </c>
      <c r="V1288">
        <v>0</v>
      </c>
      <c r="W1288" t="s">
        <v>2004</v>
      </c>
    </row>
    <row r="1289" spans="1:23" x14ac:dyDescent="0.25">
      <c r="H1289">
        <v>703</v>
      </c>
    </row>
    <row r="1290" spans="1:23" x14ac:dyDescent="0.25">
      <c r="A1290">
        <v>642</v>
      </c>
      <c r="B1290">
        <v>2122</v>
      </c>
      <c r="C1290" t="s">
        <v>2005</v>
      </c>
      <c r="D1290" t="s">
        <v>53</v>
      </c>
      <c r="E1290" t="s">
        <v>91</v>
      </c>
      <c r="F1290" t="s">
        <v>2006</v>
      </c>
      <c r="G1290" t="str">
        <f>"201410005455"</f>
        <v>201410005455</v>
      </c>
      <c r="H1290">
        <v>957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84</v>
      </c>
      <c r="S1290">
        <v>588</v>
      </c>
      <c r="T1290">
        <v>0</v>
      </c>
      <c r="V1290">
        <v>2</v>
      </c>
      <c r="W1290">
        <v>1545</v>
      </c>
    </row>
    <row r="1291" spans="1:23" x14ac:dyDescent="0.25">
      <c r="H1291">
        <v>703</v>
      </c>
    </row>
    <row r="1292" spans="1:23" x14ac:dyDescent="0.25">
      <c r="A1292">
        <v>643</v>
      </c>
      <c r="B1292">
        <v>1240</v>
      </c>
      <c r="C1292" t="s">
        <v>2007</v>
      </c>
      <c r="D1292" t="s">
        <v>140</v>
      </c>
      <c r="E1292" t="s">
        <v>53</v>
      </c>
      <c r="F1292" t="s">
        <v>2008</v>
      </c>
      <c r="G1292" t="str">
        <f>"201406012359"</f>
        <v>201406012359</v>
      </c>
      <c r="H1292" t="s">
        <v>358</v>
      </c>
      <c r="I1292">
        <v>150</v>
      </c>
      <c r="J1292">
        <v>70</v>
      </c>
      <c r="K1292">
        <v>70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37</v>
      </c>
      <c r="S1292">
        <v>259</v>
      </c>
      <c r="T1292">
        <v>0</v>
      </c>
      <c r="V1292">
        <v>0</v>
      </c>
      <c r="W1292" t="s">
        <v>2009</v>
      </c>
    </row>
    <row r="1293" spans="1:23" x14ac:dyDescent="0.25">
      <c r="H1293" t="s">
        <v>26</v>
      </c>
    </row>
    <row r="1294" spans="1:23" x14ac:dyDescent="0.25">
      <c r="A1294">
        <v>644</v>
      </c>
      <c r="B1294">
        <v>3189</v>
      </c>
      <c r="C1294" t="s">
        <v>2010</v>
      </c>
      <c r="D1294" t="s">
        <v>166</v>
      </c>
      <c r="E1294" t="s">
        <v>91</v>
      </c>
      <c r="F1294" t="s">
        <v>2011</v>
      </c>
      <c r="G1294" t="str">
        <f>"00226962"</f>
        <v>00226962</v>
      </c>
      <c r="H1294" t="s">
        <v>833</v>
      </c>
      <c r="I1294">
        <v>0</v>
      </c>
      <c r="J1294">
        <v>70</v>
      </c>
      <c r="K1294">
        <v>30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72</v>
      </c>
      <c r="S1294">
        <v>504</v>
      </c>
      <c r="T1294">
        <v>0</v>
      </c>
      <c r="V1294">
        <v>0</v>
      </c>
      <c r="W1294" t="s">
        <v>2012</v>
      </c>
    </row>
    <row r="1295" spans="1:23" x14ac:dyDescent="0.25">
      <c r="H1295" t="s">
        <v>70</v>
      </c>
    </row>
    <row r="1296" spans="1:23" x14ac:dyDescent="0.25">
      <c r="A1296">
        <v>645</v>
      </c>
      <c r="B1296">
        <v>503</v>
      </c>
      <c r="C1296" t="s">
        <v>2013</v>
      </c>
      <c r="D1296" t="s">
        <v>104</v>
      </c>
      <c r="E1296" t="s">
        <v>303</v>
      </c>
      <c r="F1296" t="s">
        <v>2014</v>
      </c>
      <c r="G1296" t="str">
        <f>"201406002907"</f>
        <v>201406002907</v>
      </c>
      <c r="H1296" t="s">
        <v>1803</v>
      </c>
      <c r="I1296">
        <v>0</v>
      </c>
      <c r="J1296">
        <v>50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84</v>
      </c>
      <c r="S1296">
        <v>588</v>
      </c>
      <c r="T1296">
        <v>0</v>
      </c>
      <c r="V1296">
        <v>0</v>
      </c>
      <c r="W1296" t="s">
        <v>2015</v>
      </c>
    </row>
    <row r="1297" spans="1:23" x14ac:dyDescent="0.25">
      <c r="H1297">
        <v>703</v>
      </c>
    </row>
    <row r="1298" spans="1:23" x14ac:dyDescent="0.25">
      <c r="A1298">
        <v>646</v>
      </c>
      <c r="B1298">
        <v>1163</v>
      </c>
      <c r="C1298" t="s">
        <v>2016</v>
      </c>
      <c r="D1298" t="s">
        <v>597</v>
      </c>
      <c r="E1298" t="s">
        <v>76</v>
      </c>
      <c r="F1298" t="s">
        <v>2017</v>
      </c>
      <c r="G1298" t="str">
        <f>"00042579"</f>
        <v>00042579</v>
      </c>
      <c r="H1298">
        <v>1012</v>
      </c>
      <c r="I1298">
        <v>150</v>
      </c>
      <c r="J1298">
        <v>30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50</v>
      </c>
      <c r="S1298">
        <v>350</v>
      </c>
      <c r="T1298">
        <v>0</v>
      </c>
      <c r="V1298">
        <v>0</v>
      </c>
      <c r="W1298">
        <v>1542</v>
      </c>
    </row>
    <row r="1299" spans="1:23" x14ac:dyDescent="0.25">
      <c r="H1299" t="s">
        <v>26</v>
      </c>
    </row>
    <row r="1300" spans="1:23" x14ac:dyDescent="0.25">
      <c r="A1300">
        <v>647</v>
      </c>
      <c r="B1300">
        <v>722</v>
      </c>
      <c r="C1300" t="s">
        <v>2018</v>
      </c>
      <c r="D1300" t="s">
        <v>15</v>
      </c>
      <c r="E1300" t="s">
        <v>105</v>
      </c>
      <c r="F1300" t="s">
        <v>2019</v>
      </c>
      <c r="G1300" t="str">
        <f>"00011294"</f>
        <v>00011294</v>
      </c>
      <c r="H1300">
        <v>924</v>
      </c>
      <c r="I1300">
        <v>0</v>
      </c>
      <c r="J1300">
        <v>30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84</v>
      </c>
      <c r="S1300">
        <v>588</v>
      </c>
      <c r="T1300">
        <v>0</v>
      </c>
      <c r="V1300">
        <v>0</v>
      </c>
      <c r="W1300">
        <v>1542</v>
      </c>
    </row>
    <row r="1301" spans="1:23" x14ac:dyDescent="0.25">
      <c r="H1301">
        <v>703</v>
      </c>
    </row>
    <row r="1302" spans="1:23" x14ac:dyDescent="0.25">
      <c r="A1302">
        <v>648</v>
      </c>
      <c r="B1302">
        <v>2001</v>
      </c>
      <c r="C1302" t="s">
        <v>2020</v>
      </c>
      <c r="D1302" t="s">
        <v>53</v>
      </c>
      <c r="E1302" t="s">
        <v>2021</v>
      </c>
      <c r="F1302" t="s">
        <v>2022</v>
      </c>
      <c r="G1302" t="str">
        <f>"201504002377"</f>
        <v>201504002377</v>
      </c>
      <c r="H1302">
        <v>924</v>
      </c>
      <c r="I1302">
        <v>0</v>
      </c>
      <c r="J1302">
        <v>30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84</v>
      </c>
      <c r="S1302">
        <v>588</v>
      </c>
      <c r="T1302">
        <v>0</v>
      </c>
      <c r="V1302">
        <v>0</v>
      </c>
      <c r="W1302">
        <v>1542</v>
      </c>
    </row>
    <row r="1303" spans="1:23" x14ac:dyDescent="0.25">
      <c r="H1303">
        <v>703</v>
      </c>
    </row>
    <row r="1304" spans="1:23" x14ac:dyDescent="0.25">
      <c r="A1304">
        <v>649</v>
      </c>
      <c r="B1304">
        <v>610</v>
      </c>
      <c r="C1304" t="s">
        <v>2023</v>
      </c>
      <c r="D1304" t="s">
        <v>2024</v>
      </c>
      <c r="E1304" t="s">
        <v>2025</v>
      </c>
      <c r="F1304" t="s">
        <v>2026</v>
      </c>
      <c r="G1304" t="str">
        <f>"00045944"</f>
        <v>00045944</v>
      </c>
      <c r="H1304">
        <v>924</v>
      </c>
      <c r="I1304">
        <v>0</v>
      </c>
      <c r="J1304">
        <v>30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84</v>
      </c>
      <c r="S1304">
        <v>588</v>
      </c>
      <c r="T1304">
        <v>0</v>
      </c>
      <c r="V1304">
        <v>0</v>
      </c>
      <c r="W1304">
        <v>1542</v>
      </c>
    </row>
    <row r="1305" spans="1:23" x14ac:dyDescent="0.25">
      <c r="H1305">
        <v>703</v>
      </c>
    </row>
    <row r="1306" spans="1:23" x14ac:dyDescent="0.25">
      <c r="A1306">
        <v>650</v>
      </c>
      <c r="B1306">
        <v>378</v>
      </c>
      <c r="C1306" t="s">
        <v>2027</v>
      </c>
      <c r="D1306" t="s">
        <v>185</v>
      </c>
      <c r="E1306" t="s">
        <v>15</v>
      </c>
      <c r="F1306" t="s">
        <v>2028</v>
      </c>
      <c r="G1306" t="str">
        <f>"00229909"</f>
        <v>00229909</v>
      </c>
      <c r="H1306">
        <v>825</v>
      </c>
      <c r="I1306">
        <v>150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81</v>
      </c>
      <c r="S1306">
        <v>567</v>
      </c>
      <c r="T1306">
        <v>0</v>
      </c>
      <c r="V1306">
        <v>0</v>
      </c>
      <c r="W1306">
        <v>1542</v>
      </c>
    </row>
    <row r="1307" spans="1:23" x14ac:dyDescent="0.25">
      <c r="H1307">
        <v>703</v>
      </c>
    </row>
    <row r="1308" spans="1:23" x14ac:dyDescent="0.25">
      <c r="A1308">
        <v>651</v>
      </c>
      <c r="B1308">
        <v>2270</v>
      </c>
      <c r="C1308" t="s">
        <v>2029</v>
      </c>
      <c r="D1308" t="s">
        <v>811</v>
      </c>
      <c r="E1308" t="s">
        <v>792</v>
      </c>
      <c r="F1308" t="s">
        <v>2030</v>
      </c>
      <c r="G1308" t="str">
        <f>"00195547"</f>
        <v>00195547</v>
      </c>
      <c r="H1308">
        <v>803</v>
      </c>
      <c r="I1308">
        <v>150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84</v>
      </c>
      <c r="S1308">
        <v>588</v>
      </c>
      <c r="T1308">
        <v>0</v>
      </c>
      <c r="V1308">
        <v>0</v>
      </c>
      <c r="W1308">
        <v>1541</v>
      </c>
    </row>
    <row r="1309" spans="1:23" x14ac:dyDescent="0.25">
      <c r="H1309">
        <v>703</v>
      </c>
    </row>
    <row r="1310" spans="1:23" x14ac:dyDescent="0.25">
      <c r="A1310">
        <v>652</v>
      </c>
      <c r="B1310">
        <v>2623</v>
      </c>
      <c r="C1310" t="s">
        <v>2031</v>
      </c>
      <c r="D1310" t="s">
        <v>610</v>
      </c>
      <c r="E1310" t="s">
        <v>58</v>
      </c>
      <c r="F1310" t="s">
        <v>2032</v>
      </c>
      <c r="G1310" t="str">
        <f>"00228890"</f>
        <v>00228890</v>
      </c>
      <c r="H1310" t="s">
        <v>2033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84</v>
      </c>
      <c r="S1310">
        <v>588</v>
      </c>
      <c r="T1310">
        <v>0</v>
      </c>
      <c r="V1310">
        <v>2</v>
      </c>
      <c r="W1310" t="s">
        <v>2034</v>
      </c>
    </row>
    <row r="1311" spans="1:23" x14ac:dyDescent="0.25">
      <c r="H1311" t="s">
        <v>70</v>
      </c>
    </row>
    <row r="1312" spans="1:23" x14ac:dyDescent="0.25">
      <c r="A1312">
        <v>653</v>
      </c>
      <c r="B1312">
        <v>2318</v>
      </c>
      <c r="C1312" t="s">
        <v>2035</v>
      </c>
      <c r="D1312" t="s">
        <v>273</v>
      </c>
      <c r="E1312" t="s">
        <v>21</v>
      </c>
      <c r="F1312" t="s">
        <v>2036</v>
      </c>
      <c r="G1312" t="str">
        <f>"201506000038"</f>
        <v>201506000038</v>
      </c>
      <c r="H1312" t="s">
        <v>1359</v>
      </c>
      <c r="I1312">
        <v>0</v>
      </c>
      <c r="J1312">
        <v>70</v>
      </c>
      <c r="K1312">
        <v>0</v>
      </c>
      <c r="L1312">
        <v>0</v>
      </c>
      <c r="M1312">
        <v>30</v>
      </c>
      <c r="N1312">
        <v>0</v>
      </c>
      <c r="O1312">
        <v>0</v>
      </c>
      <c r="P1312">
        <v>0</v>
      </c>
      <c r="Q1312">
        <v>0</v>
      </c>
      <c r="R1312">
        <v>84</v>
      </c>
      <c r="S1312">
        <v>588</v>
      </c>
      <c r="T1312">
        <v>0</v>
      </c>
      <c r="V1312">
        <v>0</v>
      </c>
      <c r="W1312" t="s">
        <v>2037</v>
      </c>
    </row>
    <row r="1313" spans="1:23" x14ac:dyDescent="0.25">
      <c r="H1313" t="s">
        <v>70</v>
      </c>
    </row>
    <row r="1314" spans="1:23" x14ac:dyDescent="0.25">
      <c r="A1314">
        <v>654</v>
      </c>
      <c r="B1314">
        <v>1084</v>
      </c>
      <c r="C1314" t="s">
        <v>2038</v>
      </c>
      <c r="D1314" t="s">
        <v>1472</v>
      </c>
      <c r="E1314" t="s">
        <v>53</v>
      </c>
      <c r="F1314" t="s">
        <v>2039</v>
      </c>
      <c r="G1314" t="str">
        <f>"00217808"</f>
        <v>00217808</v>
      </c>
      <c r="H1314" t="s">
        <v>1370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80</v>
      </c>
      <c r="S1314">
        <v>560</v>
      </c>
      <c r="T1314">
        <v>0</v>
      </c>
      <c r="V1314">
        <v>1</v>
      </c>
      <c r="W1314" t="s">
        <v>2040</v>
      </c>
    </row>
    <row r="1315" spans="1:23" x14ac:dyDescent="0.25">
      <c r="H1315">
        <v>703</v>
      </c>
    </row>
    <row r="1316" spans="1:23" x14ac:dyDescent="0.25">
      <c r="A1316">
        <v>655</v>
      </c>
      <c r="B1316">
        <v>1495</v>
      </c>
      <c r="C1316" t="s">
        <v>2041</v>
      </c>
      <c r="D1316" t="s">
        <v>592</v>
      </c>
      <c r="E1316" t="s">
        <v>37</v>
      </c>
      <c r="F1316" t="s">
        <v>2042</v>
      </c>
      <c r="G1316" t="str">
        <f>"00145885"</f>
        <v>00145885</v>
      </c>
      <c r="H1316">
        <v>902</v>
      </c>
      <c r="I1316">
        <v>0</v>
      </c>
      <c r="J1316">
        <v>50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84</v>
      </c>
      <c r="S1316">
        <v>588</v>
      </c>
      <c r="T1316">
        <v>0</v>
      </c>
      <c r="V1316">
        <v>1</v>
      </c>
      <c r="W1316">
        <v>1540</v>
      </c>
    </row>
    <row r="1317" spans="1:23" x14ac:dyDescent="0.25">
      <c r="H1317" t="s">
        <v>26</v>
      </c>
    </row>
    <row r="1318" spans="1:23" x14ac:dyDescent="0.25">
      <c r="A1318">
        <v>656</v>
      </c>
      <c r="B1318">
        <v>2827</v>
      </c>
      <c r="C1318" t="s">
        <v>2043</v>
      </c>
      <c r="D1318" t="s">
        <v>20</v>
      </c>
      <c r="E1318" t="s">
        <v>105</v>
      </c>
      <c r="F1318" t="s">
        <v>2044</v>
      </c>
      <c r="G1318" t="str">
        <f>"201511041053"</f>
        <v>201511041053</v>
      </c>
      <c r="H1318" t="s">
        <v>217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84</v>
      </c>
      <c r="S1318">
        <v>588</v>
      </c>
      <c r="T1318">
        <v>0</v>
      </c>
      <c r="V1318">
        <v>0</v>
      </c>
      <c r="W1318" t="s">
        <v>2045</v>
      </c>
    </row>
    <row r="1319" spans="1:23" x14ac:dyDescent="0.25">
      <c r="H1319">
        <v>703</v>
      </c>
    </row>
    <row r="1320" spans="1:23" x14ac:dyDescent="0.25">
      <c r="A1320">
        <v>657</v>
      </c>
      <c r="B1320">
        <v>2921</v>
      </c>
      <c r="C1320" t="s">
        <v>1156</v>
      </c>
      <c r="D1320" t="s">
        <v>2046</v>
      </c>
      <c r="E1320" t="s">
        <v>99</v>
      </c>
      <c r="F1320" t="s">
        <v>2047</v>
      </c>
      <c r="G1320" t="str">
        <f>"00225013"</f>
        <v>00225013</v>
      </c>
      <c r="H1320" t="s">
        <v>1970</v>
      </c>
      <c r="I1320">
        <v>150</v>
      </c>
      <c r="J1320">
        <v>30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68</v>
      </c>
      <c r="S1320">
        <v>476</v>
      </c>
      <c r="T1320">
        <v>0</v>
      </c>
      <c r="V1320">
        <v>0</v>
      </c>
      <c r="W1320" t="s">
        <v>2048</v>
      </c>
    </row>
    <row r="1321" spans="1:23" x14ac:dyDescent="0.25">
      <c r="H1321">
        <v>703</v>
      </c>
    </row>
    <row r="1322" spans="1:23" x14ac:dyDescent="0.25">
      <c r="A1322">
        <v>658</v>
      </c>
      <c r="B1322">
        <v>315</v>
      </c>
      <c r="C1322" t="s">
        <v>2049</v>
      </c>
      <c r="D1322" t="s">
        <v>20</v>
      </c>
      <c r="E1322" t="s">
        <v>2050</v>
      </c>
      <c r="F1322" t="s">
        <v>2051</v>
      </c>
      <c r="G1322" t="str">
        <f>"201406011348"</f>
        <v>201406011348</v>
      </c>
      <c r="H1322" t="s">
        <v>1218</v>
      </c>
      <c r="I1322">
        <v>0</v>
      </c>
      <c r="J1322">
        <v>70</v>
      </c>
      <c r="K1322">
        <v>50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50</v>
      </c>
      <c r="S1322">
        <v>350</v>
      </c>
      <c r="T1322">
        <v>0</v>
      </c>
      <c r="V1322">
        <v>2</v>
      </c>
      <c r="W1322" t="s">
        <v>2052</v>
      </c>
    </row>
    <row r="1323" spans="1:23" x14ac:dyDescent="0.25">
      <c r="H1323" t="s">
        <v>26</v>
      </c>
    </row>
    <row r="1324" spans="1:23" x14ac:dyDescent="0.25">
      <c r="A1324">
        <v>659</v>
      </c>
      <c r="B1324">
        <v>1597</v>
      </c>
      <c r="C1324" t="s">
        <v>2053</v>
      </c>
      <c r="D1324" t="s">
        <v>67</v>
      </c>
      <c r="E1324" t="s">
        <v>129</v>
      </c>
      <c r="F1324" t="s">
        <v>2054</v>
      </c>
      <c r="G1324" t="str">
        <f>"00139589"</f>
        <v>00139589</v>
      </c>
      <c r="H1324">
        <v>1078</v>
      </c>
      <c r="I1324">
        <v>150</v>
      </c>
      <c r="J1324">
        <v>30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40</v>
      </c>
      <c r="S1324">
        <v>280</v>
      </c>
      <c r="T1324">
        <v>0</v>
      </c>
      <c r="V1324">
        <v>2</v>
      </c>
      <c r="W1324">
        <v>1538</v>
      </c>
    </row>
    <row r="1325" spans="1:23" x14ac:dyDescent="0.25">
      <c r="H1325">
        <v>703</v>
      </c>
    </row>
    <row r="1326" spans="1:23" x14ac:dyDescent="0.25">
      <c r="A1326">
        <v>660</v>
      </c>
      <c r="B1326">
        <v>871</v>
      </c>
      <c r="C1326" t="s">
        <v>984</v>
      </c>
      <c r="D1326" t="s">
        <v>273</v>
      </c>
      <c r="E1326" t="s">
        <v>1633</v>
      </c>
      <c r="F1326" t="s">
        <v>2055</v>
      </c>
      <c r="G1326" t="str">
        <f>"201201000110"</f>
        <v>201201000110</v>
      </c>
      <c r="H1326">
        <v>880</v>
      </c>
      <c r="I1326">
        <v>0</v>
      </c>
      <c r="J1326">
        <v>70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84</v>
      </c>
      <c r="S1326">
        <v>588</v>
      </c>
      <c r="T1326">
        <v>0</v>
      </c>
      <c r="V1326">
        <v>0</v>
      </c>
      <c r="W1326">
        <v>1538</v>
      </c>
    </row>
    <row r="1327" spans="1:23" x14ac:dyDescent="0.25">
      <c r="H1327" t="s">
        <v>26</v>
      </c>
    </row>
    <row r="1328" spans="1:23" x14ac:dyDescent="0.25">
      <c r="A1328">
        <v>661</v>
      </c>
      <c r="B1328">
        <v>2029</v>
      </c>
      <c r="C1328" t="s">
        <v>2056</v>
      </c>
      <c r="D1328" t="s">
        <v>2057</v>
      </c>
      <c r="E1328" t="s">
        <v>21</v>
      </c>
      <c r="F1328" t="s">
        <v>2058</v>
      </c>
      <c r="G1328" t="str">
        <f>"201410010100"</f>
        <v>201410010100</v>
      </c>
      <c r="H1328">
        <v>880</v>
      </c>
      <c r="I1328">
        <v>0</v>
      </c>
      <c r="J1328">
        <v>70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84</v>
      </c>
      <c r="S1328">
        <v>588</v>
      </c>
      <c r="T1328">
        <v>0</v>
      </c>
      <c r="V1328">
        <v>0</v>
      </c>
      <c r="W1328">
        <v>1538</v>
      </c>
    </row>
    <row r="1329" spans="1:23" x14ac:dyDescent="0.25">
      <c r="H1329">
        <v>703</v>
      </c>
    </row>
    <row r="1330" spans="1:23" x14ac:dyDescent="0.25">
      <c r="A1330">
        <v>662</v>
      </c>
      <c r="B1330">
        <v>1758</v>
      </c>
      <c r="C1330" t="s">
        <v>2059</v>
      </c>
      <c r="D1330" t="s">
        <v>32</v>
      </c>
      <c r="E1330" t="s">
        <v>372</v>
      </c>
      <c r="F1330" t="s">
        <v>2060</v>
      </c>
      <c r="G1330" t="str">
        <f>"201406014460"</f>
        <v>201406014460</v>
      </c>
      <c r="H1330">
        <v>770</v>
      </c>
      <c r="I1330">
        <v>150</v>
      </c>
      <c r="J1330">
        <v>30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84</v>
      </c>
      <c r="S1330">
        <v>588</v>
      </c>
      <c r="T1330">
        <v>0</v>
      </c>
      <c r="V1330">
        <v>0</v>
      </c>
      <c r="W1330">
        <v>1538</v>
      </c>
    </row>
    <row r="1331" spans="1:23" x14ac:dyDescent="0.25">
      <c r="H1331">
        <v>703</v>
      </c>
    </row>
    <row r="1332" spans="1:23" x14ac:dyDescent="0.25">
      <c r="A1332">
        <v>663</v>
      </c>
      <c r="B1332">
        <v>2492</v>
      </c>
      <c r="C1332" t="s">
        <v>2061</v>
      </c>
      <c r="D1332" t="s">
        <v>2062</v>
      </c>
      <c r="E1332" t="s">
        <v>15</v>
      </c>
      <c r="F1332" t="s">
        <v>2063</v>
      </c>
      <c r="G1332" t="str">
        <f>"201304005108"</f>
        <v>201304005108</v>
      </c>
      <c r="H1332" t="s">
        <v>495</v>
      </c>
      <c r="I1332">
        <v>0</v>
      </c>
      <c r="J1332">
        <v>70</v>
      </c>
      <c r="K1332">
        <v>50</v>
      </c>
      <c r="L1332">
        <v>50</v>
      </c>
      <c r="M1332">
        <v>0</v>
      </c>
      <c r="N1332">
        <v>70</v>
      </c>
      <c r="O1332">
        <v>0</v>
      </c>
      <c r="P1332">
        <v>0</v>
      </c>
      <c r="Q1332">
        <v>0</v>
      </c>
      <c r="R1332">
        <v>49</v>
      </c>
      <c r="S1332">
        <v>343</v>
      </c>
      <c r="T1332">
        <v>0</v>
      </c>
      <c r="V1332">
        <v>0</v>
      </c>
      <c r="W1332" t="s">
        <v>2064</v>
      </c>
    </row>
    <row r="1333" spans="1:23" x14ac:dyDescent="0.25">
      <c r="H1333" t="s">
        <v>26</v>
      </c>
    </row>
    <row r="1334" spans="1:23" x14ac:dyDescent="0.25">
      <c r="A1334">
        <v>664</v>
      </c>
      <c r="B1334">
        <v>1010</v>
      </c>
      <c r="C1334" t="s">
        <v>2065</v>
      </c>
      <c r="D1334" t="s">
        <v>99</v>
      </c>
      <c r="E1334" t="s">
        <v>350</v>
      </c>
      <c r="F1334" t="s">
        <v>2066</v>
      </c>
      <c r="G1334" t="str">
        <f>"201511015475"</f>
        <v>201511015475</v>
      </c>
      <c r="H1334" t="s">
        <v>2067</v>
      </c>
      <c r="I1334">
        <v>0</v>
      </c>
      <c r="J1334">
        <v>30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84</v>
      </c>
      <c r="S1334">
        <v>588</v>
      </c>
      <c r="T1334">
        <v>0</v>
      </c>
      <c r="V1334">
        <v>0</v>
      </c>
      <c r="W1334" t="s">
        <v>2068</v>
      </c>
    </row>
    <row r="1335" spans="1:23" x14ac:dyDescent="0.25">
      <c r="H1335">
        <v>703</v>
      </c>
    </row>
    <row r="1336" spans="1:23" x14ac:dyDescent="0.25">
      <c r="A1336">
        <v>665</v>
      </c>
      <c r="B1336">
        <v>202</v>
      </c>
      <c r="C1336" t="s">
        <v>2069</v>
      </c>
      <c r="D1336" t="s">
        <v>194</v>
      </c>
      <c r="E1336" t="s">
        <v>393</v>
      </c>
      <c r="F1336" t="s">
        <v>2070</v>
      </c>
      <c r="G1336" t="str">
        <f>"00187762"</f>
        <v>00187762</v>
      </c>
      <c r="H1336" t="s">
        <v>2071</v>
      </c>
      <c r="I1336">
        <v>150</v>
      </c>
      <c r="J1336">
        <v>50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84</v>
      </c>
      <c r="S1336">
        <v>588</v>
      </c>
      <c r="T1336">
        <v>0</v>
      </c>
      <c r="V1336">
        <v>0</v>
      </c>
      <c r="W1336" t="s">
        <v>2072</v>
      </c>
    </row>
    <row r="1337" spans="1:23" x14ac:dyDescent="0.25">
      <c r="H1337">
        <v>703</v>
      </c>
    </row>
    <row r="1338" spans="1:23" x14ac:dyDescent="0.25">
      <c r="A1338">
        <v>666</v>
      </c>
      <c r="B1338">
        <v>1765</v>
      </c>
      <c r="C1338" t="s">
        <v>2073</v>
      </c>
      <c r="D1338" t="s">
        <v>1521</v>
      </c>
      <c r="E1338" t="s">
        <v>68</v>
      </c>
      <c r="F1338" t="s">
        <v>2074</v>
      </c>
      <c r="G1338" t="str">
        <f>"201406019149"</f>
        <v>201406019149</v>
      </c>
      <c r="H1338" t="s">
        <v>840</v>
      </c>
      <c r="I1338">
        <v>0</v>
      </c>
      <c r="J1338">
        <v>30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84</v>
      </c>
      <c r="S1338">
        <v>588</v>
      </c>
      <c r="T1338">
        <v>0</v>
      </c>
      <c r="V1338">
        <v>2</v>
      </c>
      <c r="W1338" t="s">
        <v>2075</v>
      </c>
    </row>
    <row r="1339" spans="1:23" x14ac:dyDescent="0.25">
      <c r="H1339" t="s">
        <v>26</v>
      </c>
    </row>
    <row r="1340" spans="1:23" x14ac:dyDescent="0.25">
      <c r="A1340">
        <v>667</v>
      </c>
      <c r="B1340">
        <v>1149</v>
      </c>
      <c r="C1340" t="s">
        <v>1604</v>
      </c>
      <c r="D1340" t="s">
        <v>1026</v>
      </c>
      <c r="E1340" t="s">
        <v>2076</v>
      </c>
      <c r="F1340" t="s">
        <v>2077</v>
      </c>
      <c r="G1340" t="str">
        <f>"201511039439"</f>
        <v>201511039439</v>
      </c>
      <c r="H1340" t="s">
        <v>446</v>
      </c>
      <c r="I1340">
        <v>0</v>
      </c>
      <c r="J1340">
        <v>30</v>
      </c>
      <c r="K1340">
        <v>0</v>
      </c>
      <c r="L1340">
        <v>0</v>
      </c>
      <c r="M1340">
        <v>30</v>
      </c>
      <c r="N1340">
        <v>0</v>
      </c>
      <c r="O1340">
        <v>0</v>
      </c>
      <c r="P1340">
        <v>0</v>
      </c>
      <c r="Q1340">
        <v>0</v>
      </c>
      <c r="R1340">
        <v>73</v>
      </c>
      <c r="S1340">
        <v>511</v>
      </c>
      <c r="T1340">
        <v>0</v>
      </c>
      <c r="V1340">
        <v>0</v>
      </c>
      <c r="W1340" t="s">
        <v>2078</v>
      </c>
    </row>
    <row r="1341" spans="1:23" x14ac:dyDescent="0.25">
      <c r="H1341" t="s">
        <v>70</v>
      </c>
    </row>
    <row r="1342" spans="1:23" x14ac:dyDescent="0.25">
      <c r="A1342">
        <v>668</v>
      </c>
      <c r="B1342">
        <v>1330</v>
      </c>
      <c r="C1342" t="s">
        <v>2079</v>
      </c>
      <c r="D1342" t="s">
        <v>273</v>
      </c>
      <c r="E1342" t="s">
        <v>15</v>
      </c>
      <c r="F1342" t="s">
        <v>2080</v>
      </c>
      <c r="G1342" t="str">
        <f>"201412002544"</f>
        <v>201412002544</v>
      </c>
      <c r="H1342" t="s">
        <v>202</v>
      </c>
      <c r="I1342">
        <v>150</v>
      </c>
      <c r="J1342">
        <v>30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53</v>
      </c>
      <c r="S1342">
        <v>371</v>
      </c>
      <c r="T1342">
        <v>0</v>
      </c>
      <c r="V1342">
        <v>0</v>
      </c>
      <c r="W1342" t="s">
        <v>2081</v>
      </c>
    </row>
    <row r="1343" spans="1:23" x14ac:dyDescent="0.25">
      <c r="H1343" t="s">
        <v>26</v>
      </c>
    </row>
    <row r="1344" spans="1:23" x14ac:dyDescent="0.25">
      <c r="A1344">
        <v>669</v>
      </c>
      <c r="B1344">
        <v>1617</v>
      </c>
      <c r="C1344" t="s">
        <v>2082</v>
      </c>
      <c r="D1344" t="s">
        <v>20</v>
      </c>
      <c r="E1344" t="s">
        <v>654</v>
      </c>
      <c r="F1344" t="s">
        <v>2083</v>
      </c>
      <c r="G1344" t="str">
        <f>"201502002349"</f>
        <v>201502002349</v>
      </c>
      <c r="H1344" t="s">
        <v>1901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84</v>
      </c>
      <c r="S1344">
        <v>588</v>
      </c>
      <c r="T1344">
        <v>0</v>
      </c>
      <c r="V1344">
        <v>1</v>
      </c>
      <c r="W1344" t="s">
        <v>2084</v>
      </c>
    </row>
    <row r="1345" spans="1:23" x14ac:dyDescent="0.25">
      <c r="H1345">
        <v>703</v>
      </c>
    </row>
    <row r="1346" spans="1:23" x14ac:dyDescent="0.25">
      <c r="A1346">
        <v>670</v>
      </c>
      <c r="B1346">
        <v>1294</v>
      </c>
      <c r="C1346" t="s">
        <v>2085</v>
      </c>
      <c r="D1346" t="s">
        <v>2086</v>
      </c>
      <c r="E1346" t="s">
        <v>2087</v>
      </c>
      <c r="F1346" t="s">
        <v>2088</v>
      </c>
      <c r="G1346" t="str">
        <f>"00140203"</f>
        <v>00140203</v>
      </c>
      <c r="H1346" t="s">
        <v>1901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84</v>
      </c>
      <c r="S1346">
        <v>588</v>
      </c>
      <c r="T1346">
        <v>0</v>
      </c>
      <c r="V1346">
        <v>0</v>
      </c>
      <c r="W1346" t="s">
        <v>2084</v>
      </c>
    </row>
    <row r="1347" spans="1:23" x14ac:dyDescent="0.25">
      <c r="H1347">
        <v>703</v>
      </c>
    </row>
    <row r="1348" spans="1:23" x14ac:dyDescent="0.25">
      <c r="A1348">
        <v>671</v>
      </c>
      <c r="B1348">
        <v>2056</v>
      </c>
      <c r="C1348" t="s">
        <v>2089</v>
      </c>
      <c r="D1348" t="s">
        <v>105</v>
      </c>
      <c r="E1348" t="s">
        <v>79</v>
      </c>
      <c r="F1348" t="s">
        <v>2090</v>
      </c>
      <c r="G1348" t="str">
        <f>"00146624"</f>
        <v>00146624</v>
      </c>
      <c r="H1348" t="s">
        <v>2091</v>
      </c>
      <c r="I1348">
        <v>0</v>
      </c>
      <c r="J1348">
        <v>0</v>
      </c>
      <c r="K1348">
        <v>0</v>
      </c>
      <c r="L1348">
        <v>0</v>
      </c>
      <c r="M1348">
        <v>30</v>
      </c>
      <c r="N1348">
        <v>0</v>
      </c>
      <c r="O1348">
        <v>0</v>
      </c>
      <c r="P1348">
        <v>0</v>
      </c>
      <c r="Q1348">
        <v>0</v>
      </c>
      <c r="R1348">
        <v>84</v>
      </c>
      <c r="S1348">
        <v>588</v>
      </c>
      <c r="T1348">
        <v>0</v>
      </c>
      <c r="V1348">
        <v>0</v>
      </c>
      <c r="W1348" t="s">
        <v>2092</v>
      </c>
    </row>
    <row r="1349" spans="1:23" x14ac:dyDescent="0.25">
      <c r="H1349">
        <v>703</v>
      </c>
    </row>
    <row r="1350" spans="1:23" x14ac:dyDescent="0.25">
      <c r="A1350">
        <v>672</v>
      </c>
      <c r="B1350">
        <v>2339</v>
      </c>
      <c r="C1350" t="s">
        <v>2093</v>
      </c>
      <c r="D1350" t="s">
        <v>76</v>
      </c>
      <c r="E1350" t="s">
        <v>2094</v>
      </c>
      <c r="F1350" t="s">
        <v>2095</v>
      </c>
      <c r="G1350" t="str">
        <f>"00089794"</f>
        <v>00089794</v>
      </c>
      <c r="H1350">
        <v>726</v>
      </c>
      <c r="I1350">
        <v>150</v>
      </c>
      <c r="J1350">
        <v>70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84</v>
      </c>
      <c r="S1350">
        <v>588</v>
      </c>
      <c r="T1350">
        <v>0</v>
      </c>
      <c r="V1350">
        <v>0</v>
      </c>
      <c r="W1350">
        <v>1534</v>
      </c>
    </row>
    <row r="1351" spans="1:23" x14ac:dyDescent="0.25">
      <c r="H1351">
        <v>703</v>
      </c>
    </row>
    <row r="1352" spans="1:23" x14ac:dyDescent="0.25">
      <c r="A1352">
        <v>673</v>
      </c>
      <c r="B1352">
        <v>1310</v>
      </c>
      <c r="C1352" t="s">
        <v>2096</v>
      </c>
      <c r="D1352" t="s">
        <v>112</v>
      </c>
      <c r="E1352" t="s">
        <v>15</v>
      </c>
      <c r="F1352" t="s">
        <v>2097</v>
      </c>
      <c r="G1352" t="str">
        <f>"201511038815"</f>
        <v>201511038815</v>
      </c>
      <c r="H1352" t="s">
        <v>2098</v>
      </c>
      <c r="I1352">
        <v>0</v>
      </c>
      <c r="J1352">
        <v>50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84</v>
      </c>
      <c r="S1352">
        <v>588</v>
      </c>
      <c r="T1352">
        <v>0</v>
      </c>
      <c r="V1352">
        <v>1</v>
      </c>
      <c r="W1352" t="s">
        <v>2099</v>
      </c>
    </row>
    <row r="1353" spans="1:23" x14ac:dyDescent="0.25">
      <c r="H1353" t="s">
        <v>26</v>
      </c>
    </row>
    <row r="1354" spans="1:23" x14ac:dyDescent="0.25">
      <c r="A1354">
        <v>674</v>
      </c>
      <c r="B1354">
        <v>284</v>
      </c>
      <c r="C1354" t="s">
        <v>2100</v>
      </c>
      <c r="D1354" t="s">
        <v>302</v>
      </c>
      <c r="E1354" t="s">
        <v>105</v>
      </c>
      <c r="F1354" t="s">
        <v>2101</v>
      </c>
      <c r="G1354" t="str">
        <f>"00022186"</f>
        <v>00022186</v>
      </c>
      <c r="H1354" t="s">
        <v>521</v>
      </c>
      <c r="I1354">
        <v>0</v>
      </c>
      <c r="J1354">
        <v>30</v>
      </c>
      <c r="K1354">
        <v>0</v>
      </c>
      <c r="L1354">
        <v>0</v>
      </c>
      <c r="M1354">
        <v>0</v>
      </c>
      <c r="N1354">
        <v>0</v>
      </c>
      <c r="O1354">
        <v>0</v>
      </c>
      <c r="P1354">
        <v>0</v>
      </c>
      <c r="Q1354">
        <v>0</v>
      </c>
      <c r="R1354">
        <v>76</v>
      </c>
      <c r="S1354">
        <v>532</v>
      </c>
      <c r="T1354">
        <v>0</v>
      </c>
      <c r="V1354">
        <v>0</v>
      </c>
      <c r="W1354" t="s">
        <v>2102</v>
      </c>
    </row>
    <row r="1355" spans="1:23" x14ac:dyDescent="0.25">
      <c r="H1355" t="s">
        <v>70</v>
      </c>
    </row>
    <row r="1356" spans="1:23" x14ac:dyDescent="0.25">
      <c r="A1356">
        <v>675</v>
      </c>
      <c r="B1356">
        <v>2215</v>
      </c>
      <c r="C1356" t="s">
        <v>704</v>
      </c>
      <c r="D1356" t="s">
        <v>444</v>
      </c>
      <c r="E1356" t="s">
        <v>109</v>
      </c>
      <c r="F1356" t="s">
        <v>2103</v>
      </c>
      <c r="G1356" t="str">
        <f>"201406005675"</f>
        <v>201406005675</v>
      </c>
      <c r="H1356">
        <v>1001</v>
      </c>
      <c r="I1356">
        <v>0</v>
      </c>
      <c r="J1356">
        <v>70</v>
      </c>
      <c r="K1356">
        <v>70</v>
      </c>
      <c r="L1356">
        <v>0</v>
      </c>
      <c r="M1356">
        <v>0</v>
      </c>
      <c r="N1356">
        <v>0</v>
      </c>
      <c r="O1356">
        <v>0</v>
      </c>
      <c r="P1356">
        <v>0</v>
      </c>
      <c r="Q1356">
        <v>0</v>
      </c>
      <c r="R1356">
        <v>56</v>
      </c>
      <c r="S1356">
        <v>392</v>
      </c>
      <c r="T1356">
        <v>0</v>
      </c>
      <c r="V1356">
        <v>0</v>
      </c>
      <c r="W1356">
        <v>1533</v>
      </c>
    </row>
    <row r="1357" spans="1:23" x14ac:dyDescent="0.25">
      <c r="H1357" t="s">
        <v>70</v>
      </c>
    </row>
    <row r="1358" spans="1:23" x14ac:dyDescent="0.25">
      <c r="A1358">
        <v>676</v>
      </c>
      <c r="B1358">
        <v>2192</v>
      </c>
      <c r="C1358" t="s">
        <v>2104</v>
      </c>
      <c r="D1358" t="s">
        <v>109</v>
      </c>
      <c r="E1358" t="s">
        <v>53</v>
      </c>
      <c r="F1358" t="s">
        <v>2105</v>
      </c>
      <c r="G1358" t="str">
        <f>"201512002455"</f>
        <v>201512002455</v>
      </c>
      <c r="H1358">
        <v>715</v>
      </c>
      <c r="I1358">
        <v>150</v>
      </c>
      <c r="J1358">
        <v>50</v>
      </c>
      <c r="K1358">
        <v>0</v>
      </c>
      <c r="L1358">
        <v>30</v>
      </c>
      <c r="M1358">
        <v>0</v>
      </c>
      <c r="N1358">
        <v>0</v>
      </c>
      <c r="O1358">
        <v>0</v>
      </c>
      <c r="P1358">
        <v>0</v>
      </c>
      <c r="Q1358">
        <v>0</v>
      </c>
      <c r="R1358">
        <v>84</v>
      </c>
      <c r="S1358">
        <v>588</v>
      </c>
      <c r="T1358">
        <v>0</v>
      </c>
      <c r="V1358">
        <v>2</v>
      </c>
      <c r="W1358">
        <v>1533</v>
      </c>
    </row>
    <row r="1359" spans="1:23" x14ac:dyDescent="0.25">
      <c r="H1359" t="s">
        <v>26</v>
      </c>
    </row>
    <row r="1360" spans="1:23" x14ac:dyDescent="0.25">
      <c r="A1360">
        <v>677</v>
      </c>
      <c r="B1360">
        <v>1420</v>
      </c>
      <c r="C1360" t="s">
        <v>2106</v>
      </c>
      <c r="D1360" t="s">
        <v>597</v>
      </c>
      <c r="E1360" t="s">
        <v>356</v>
      </c>
      <c r="F1360" t="s">
        <v>2107</v>
      </c>
      <c r="G1360" t="str">
        <f>"201304004108"</f>
        <v>201304004108</v>
      </c>
      <c r="H1360" t="s">
        <v>1014</v>
      </c>
      <c r="I1360">
        <v>0</v>
      </c>
      <c r="J1360">
        <v>70</v>
      </c>
      <c r="K1360">
        <v>0</v>
      </c>
      <c r="L1360">
        <v>0</v>
      </c>
      <c r="M1360">
        <v>0</v>
      </c>
      <c r="N1360">
        <v>0</v>
      </c>
      <c r="O1360">
        <v>0</v>
      </c>
      <c r="P1360">
        <v>0</v>
      </c>
      <c r="Q1360">
        <v>0</v>
      </c>
      <c r="R1360">
        <v>84</v>
      </c>
      <c r="S1360">
        <v>588</v>
      </c>
      <c r="T1360">
        <v>0</v>
      </c>
      <c r="V1360">
        <v>0</v>
      </c>
      <c r="W1360" t="s">
        <v>2108</v>
      </c>
    </row>
    <row r="1361" spans="1:23" x14ac:dyDescent="0.25">
      <c r="H1361" t="s">
        <v>26</v>
      </c>
    </row>
    <row r="1362" spans="1:23" x14ac:dyDescent="0.25">
      <c r="A1362">
        <v>678</v>
      </c>
      <c r="B1362">
        <v>1481</v>
      </c>
      <c r="C1362" t="s">
        <v>2109</v>
      </c>
      <c r="D1362" t="s">
        <v>258</v>
      </c>
      <c r="E1362" t="s">
        <v>523</v>
      </c>
      <c r="F1362" t="s">
        <v>2110</v>
      </c>
      <c r="G1362" t="str">
        <f>"00229489"</f>
        <v>00229489</v>
      </c>
      <c r="H1362" t="s">
        <v>2111</v>
      </c>
      <c r="I1362">
        <v>0</v>
      </c>
      <c r="J1362">
        <v>0</v>
      </c>
      <c r="K1362">
        <v>0</v>
      </c>
      <c r="L1362">
        <v>0</v>
      </c>
      <c r="M1362">
        <v>0</v>
      </c>
      <c r="N1362">
        <v>0</v>
      </c>
      <c r="O1362">
        <v>0</v>
      </c>
      <c r="P1362">
        <v>0</v>
      </c>
      <c r="Q1362">
        <v>0</v>
      </c>
      <c r="R1362">
        <v>84</v>
      </c>
      <c r="S1362">
        <v>588</v>
      </c>
      <c r="T1362">
        <v>0</v>
      </c>
      <c r="V1362">
        <v>0</v>
      </c>
      <c r="W1362" t="s">
        <v>2112</v>
      </c>
    </row>
    <row r="1363" spans="1:23" x14ac:dyDescent="0.25">
      <c r="H1363">
        <v>703</v>
      </c>
    </row>
    <row r="1364" spans="1:23" x14ac:dyDescent="0.25">
      <c r="A1364">
        <v>679</v>
      </c>
      <c r="B1364">
        <v>3137</v>
      </c>
      <c r="C1364" t="s">
        <v>2113</v>
      </c>
      <c r="D1364" t="s">
        <v>2114</v>
      </c>
      <c r="E1364" t="s">
        <v>53</v>
      </c>
      <c r="F1364" t="s">
        <v>2115</v>
      </c>
      <c r="G1364" t="str">
        <f>"00127183"</f>
        <v>00127183</v>
      </c>
      <c r="H1364">
        <v>990</v>
      </c>
      <c r="I1364">
        <v>0</v>
      </c>
      <c r="J1364">
        <v>30</v>
      </c>
      <c r="K1364">
        <v>0</v>
      </c>
      <c r="L1364">
        <v>0</v>
      </c>
      <c r="M1364">
        <v>0</v>
      </c>
      <c r="N1364">
        <v>0</v>
      </c>
      <c r="O1364">
        <v>0</v>
      </c>
      <c r="P1364">
        <v>0</v>
      </c>
      <c r="Q1364">
        <v>0</v>
      </c>
      <c r="R1364">
        <v>73</v>
      </c>
      <c r="S1364">
        <v>511</v>
      </c>
      <c r="T1364">
        <v>0</v>
      </c>
      <c r="V1364">
        <v>3</v>
      </c>
      <c r="W1364">
        <v>1531</v>
      </c>
    </row>
    <row r="1365" spans="1:23" x14ac:dyDescent="0.25">
      <c r="H1365">
        <v>703</v>
      </c>
    </row>
    <row r="1366" spans="1:23" x14ac:dyDescent="0.25">
      <c r="A1366">
        <v>680</v>
      </c>
      <c r="B1366">
        <v>1162</v>
      </c>
      <c r="C1366" t="s">
        <v>2116</v>
      </c>
      <c r="D1366" t="s">
        <v>273</v>
      </c>
      <c r="E1366" t="s">
        <v>53</v>
      </c>
      <c r="F1366" t="s">
        <v>2117</v>
      </c>
      <c r="G1366" t="str">
        <f>"00227022"</f>
        <v>00227022</v>
      </c>
      <c r="H1366">
        <v>990</v>
      </c>
      <c r="I1366">
        <v>0</v>
      </c>
      <c r="J1366">
        <v>30</v>
      </c>
      <c r="K1366">
        <v>0</v>
      </c>
      <c r="L1366">
        <v>0</v>
      </c>
      <c r="M1366">
        <v>0</v>
      </c>
      <c r="N1366">
        <v>0</v>
      </c>
      <c r="O1366">
        <v>0</v>
      </c>
      <c r="P1366">
        <v>0</v>
      </c>
      <c r="Q1366">
        <v>0</v>
      </c>
      <c r="R1366">
        <v>73</v>
      </c>
      <c r="S1366">
        <v>511</v>
      </c>
      <c r="T1366">
        <v>0</v>
      </c>
      <c r="V1366">
        <v>1</v>
      </c>
      <c r="W1366">
        <v>1531</v>
      </c>
    </row>
    <row r="1367" spans="1:23" x14ac:dyDescent="0.25">
      <c r="H1367">
        <v>703</v>
      </c>
    </row>
    <row r="1368" spans="1:23" x14ac:dyDescent="0.25">
      <c r="A1368">
        <v>681</v>
      </c>
      <c r="B1368">
        <v>1635</v>
      </c>
      <c r="C1368" t="s">
        <v>296</v>
      </c>
      <c r="D1368" t="s">
        <v>273</v>
      </c>
      <c r="E1368" t="s">
        <v>1166</v>
      </c>
      <c r="F1368" t="s">
        <v>2118</v>
      </c>
      <c r="G1368" t="str">
        <f>"201511022970"</f>
        <v>201511022970</v>
      </c>
      <c r="H1368">
        <v>913</v>
      </c>
      <c r="I1368">
        <v>0</v>
      </c>
      <c r="J1368">
        <v>30</v>
      </c>
      <c r="K1368">
        <v>0</v>
      </c>
      <c r="L1368">
        <v>0</v>
      </c>
      <c r="M1368">
        <v>0</v>
      </c>
      <c r="N1368">
        <v>0</v>
      </c>
      <c r="O1368">
        <v>0</v>
      </c>
      <c r="P1368">
        <v>0</v>
      </c>
      <c r="Q1368">
        <v>0</v>
      </c>
      <c r="R1368">
        <v>84</v>
      </c>
      <c r="S1368">
        <v>588</v>
      </c>
      <c r="T1368">
        <v>0</v>
      </c>
      <c r="V1368">
        <v>0</v>
      </c>
      <c r="W1368">
        <v>1531</v>
      </c>
    </row>
    <row r="1369" spans="1:23" x14ac:dyDescent="0.25">
      <c r="H1369">
        <v>703</v>
      </c>
    </row>
    <row r="1370" spans="1:23" x14ac:dyDescent="0.25">
      <c r="A1370">
        <v>682</v>
      </c>
      <c r="B1370">
        <v>70</v>
      </c>
      <c r="C1370" t="s">
        <v>2119</v>
      </c>
      <c r="D1370" t="s">
        <v>226</v>
      </c>
      <c r="E1370" t="s">
        <v>62</v>
      </c>
      <c r="F1370" t="s">
        <v>2120</v>
      </c>
      <c r="G1370" t="str">
        <f>"201402005273"</f>
        <v>201402005273</v>
      </c>
      <c r="H1370" t="s">
        <v>2121</v>
      </c>
      <c r="I1370">
        <v>0</v>
      </c>
      <c r="J1370">
        <v>0</v>
      </c>
      <c r="K1370">
        <v>0</v>
      </c>
      <c r="L1370">
        <v>0</v>
      </c>
      <c r="M1370">
        <v>0</v>
      </c>
      <c r="N1370">
        <v>0</v>
      </c>
      <c r="O1370">
        <v>0</v>
      </c>
      <c r="P1370">
        <v>0</v>
      </c>
      <c r="Q1370">
        <v>0</v>
      </c>
      <c r="R1370">
        <v>84</v>
      </c>
      <c r="S1370">
        <v>588</v>
      </c>
      <c r="T1370">
        <v>0</v>
      </c>
      <c r="V1370">
        <v>0</v>
      </c>
      <c r="W1370" t="s">
        <v>2122</v>
      </c>
    </row>
    <row r="1371" spans="1:23" x14ac:dyDescent="0.25">
      <c r="H1371">
        <v>703</v>
      </c>
    </row>
    <row r="1372" spans="1:23" x14ac:dyDescent="0.25">
      <c r="A1372">
        <v>683</v>
      </c>
      <c r="B1372">
        <v>275</v>
      </c>
      <c r="C1372" t="s">
        <v>2123</v>
      </c>
      <c r="D1372" t="s">
        <v>2124</v>
      </c>
      <c r="E1372" t="s">
        <v>105</v>
      </c>
      <c r="F1372" t="s">
        <v>2125</v>
      </c>
      <c r="G1372" t="str">
        <f>"00222163"</f>
        <v>00222163</v>
      </c>
      <c r="H1372" t="s">
        <v>2121</v>
      </c>
      <c r="I1372">
        <v>0</v>
      </c>
      <c r="J1372">
        <v>0</v>
      </c>
      <c r="K1372">
        <v>0</v>
      </c>
      <c r="L1372">
        <v>0</v>
      </c>
      <c r="M1372">
        <v>0</v>
      </c>
      <c r="N1372">
        <v>0</v>
      </c>
      <c r="O1372">
        <v>0</v>
      </c>
      <c r="P1372">
        <v>0</v>
      </c>
      <c r="Q1372">
        <v>0</v>
      </c>
      <c r="R1372">
        <v>84</v>
      </c>
      <c r="S1372">
        <v>588</v>
      </c>
      <c r="T1372">
        <v>0</v>
      </c>
      <c r="V1372">
        <v>0</v>
      </c>
      <c r="W1372" t="s">
        <v>2122</v>
      </c>
    </row>
    <row r="1373" spans="1:23" x14ac:dyDescent="0.25">
      <c r="H1373">
        <v>703</v>
      </c>
    </row>
    <row r="1374" spans="1:23" x14ac:dyDescent="0.25">
      <c r="A1374">
        <v>684</v>
      </c>
      <c r="B1374">
        <v>807</v>
      </c>
      <c r="C1374" t="s">
        <v>2126</v>
      </c>
      <c r="D1374" t="s">
        <v>20</v>
      </c>
      <c r="E1374" t="s">
        <v>255</v>
      </c>
      <c r="F1374" t="s">
        <v>2127</v>
      </c>
      <c r="G1374" t="str">
        <f>"201511042690"</f>
        <v>201511042690</v>
      </c>
      <c r="H1374" t="s">
        <v>2121</v>
      </c>
      <c r="I1374">
        <v>0</v>
      </c>
      <c r="J1374">
        <v>0</v>
      </c>
      <c r="K1374">
        <v>0</v>
      </c>
      <c r="L1374">
        <v>0</v>
      </c>
      <c r="M1374">
        <v>0</v>
      </c>
      <c r="N1374">
        <v>0</v>
      </c>
      <c r="O1374">
        <v>0</v>
      </c>
      <c r="P1374">
        <v>0</v>
      </c>
      <c r="Q1374">
        <v>0</v>
      </c>
      <c r="R1374">
        <v>84</v>
      </c>
      <c r="S1374">
        <v>588</v>
      </c>
      <c r="T1374">
        <v>0</v>
      </c>
      <c r="V1374">
        <v>3</v>
      </c>
      <c r="W1374" t="s">
        <v>2122</v>
      </c>
    </row>
    <row r="1375" spans="1:23" x14ac:dyDescent="0.25">
      <c r="H1375" t="s">
        <v>26</v>
      </c>
    </row>
    <row r="1376" spans="1:23" x14ac:dyDescent="0.25">
      <c r="A1376">
        <v>685</v>
      </c>
      <c r="B1376">
        <v>2867</v>
      </c>
      <c r="C1376" t="s">
        <v>2128</v>
      </c>
      <c r="D1376" t="s">
        <v>273</v>
      </c>
      <c r="E1376" t="s">
        <v>2129</v>
      </c>
      <c r="F1376" t="s">
        <v>2130</v>
      </c>
      <c r="G1376" t="str">
        <f>"201511031467"</f>
        <v>201511031467</v>
      </c>
      <c r="H1376" t="s">
        <v>245</v>
      </c>
      <c r="I1376">
        <v>0</v>
      </c>
      <c r="J1376">
        <v>0</v>
      </c>
      <c r="K1376">
        <v>0</v>
      </c>
      <c r="L1376">
        <v>0</v>
      </c>
      <c r="M1376">
        <v>0</v>
      </c>
      <c r="N1376">
        <v>0</v>
      </c>
      <c r="O1376">
        <v>0</v>
      </c>
      <c r="P1376">
        <v>0</v>
      </c>
      <c r="Q1376">
        <v>0</v>
      </c>
      <c r="R1376">
        <v>72</v>
      </c>
      <c r="S1376">
        <v>504</v>
      </c>
      <c r="T1376">
        <v>0</v>
      </c>
      <c r="V1376">
        <v>0</v>
      </c>
      <c r="W1376" t="s">
        <v>2131</v>
      </c>
    </row>
    <row r="1377" spans="1:23" x14ac:dyDescent="0.25">
      <c r="H1377">
        <v>703</v>
      </c>
    </row>
    <row r="1378" spans="1:23" x14ac:dyDescent="0.25">
      <c r="A1378">
        <v>686</v>
      </c>
      <c r="B1378">
        <v>1981</v>
      </c>
      <c r="C1378" t="s">
        <v>2132</v>
      </c>
      <c r="D1378" t="s">
        <v>40</v>
      </c>
      <c r="E1378" t="s">
        <v>15</v>
      </c>
      <c r="F1378" t="s">
        <v>2133</v>
      </c>
      <c r="G1378" t="str">
        <f>"201511027021"</f>
        <v>201511027021</v>
      </c>
      <c r="H1378" t="s">
        <v>2134</v>
      </c>
      <c r="I1378">
        <v>0</v>
      </c>
      <c r="J1378">
        <v>0</v>
      </c>
      <c r="K1378">
        <v>0</v>
      </c>
      <c r="L1378">
        <v>0</v>
      </c>
      <c r="M1378">
        <v>0</v>
      </c>
      <c r="N1378">
        <v>0</v>
      </c>
      <c r="O1378">
        <v>0</v>
      </c>
      <c r="P1378">
        <v>0</v>
      </c>
      <c r="Q1378">
        <v>0</v>
      </c>
      <c r="R1378">
        <v>84</v>
      </c>
      <c r="S1378">
        <v>588</v>
      </c>
      <c r="T1378">
        <v>0</v>
      </c>
      <c r="V1378">
        <v>0</v>
      </c>
      <c r="W1378" t="s">
        <v>2135</v>
      </c>
    </row>
    <row r="1379" spans="1:23" x14ac:dyDescent="0.25">
      <c r="H1379">
        <v>703</v>
      </c>
    </row>
    <row r="1380" spans="1:23" x14ac:dyDescent="0.25">
      <c r="A1380">
        <v>687</v>
      </c>
      <c r="B1380">
        <v>1860</v>
      </c>
      <c r="C1380" t="s">
        <v>2136</v>
      </c>
      <c r="D1380" t="s">
        <v>194</v>
      </c>
      <c r="E1380" t="s">
        <v>109</v>
      </c>
      <c r="F1380" t="s">
        <v>2137</v>
      </c>
      <c r="G1380" t="str">
        <f>"200802007824"</f>
        <v>200802007824</v>
      </c>
      <c r="H1380" t="s">
        <v>281</v>
      </c>
      <c r="I1380">
        <v>0</v>
      </c>
      <c r="J1380">
        <v>70</v>
      </c>
      <c r="K1380">
        <v>0</v>
      </c>
      <c r="L1380">
        <v>0</v>
      </c>
      <c r="M1380">
        <v>0</v>
      </c>
      <c r="N1380">
        <v>0</v>
      </c>
      <c r="O1380">
        <v>0</v>
      </c>
      <c r="P1380">
        <v>0</v>
      </c>
      <c r="Q1380">
        <v>0</v>
      </c>
      <c r="R1380">
        <v>60</v>
      </c>
      <c r="S1380">
        <v>420</v>
      </c>
      <c r="T1380">
        <v>0</v>
      </c>
      <c r="V1380">
        <v>0</v>
      </c>
      <c r="W1380" t="s">
        <v>2138</v>
      </c>
    </row>
    <row r="1381" spans="1:23" x14ac:dyDescent="0.25">
      <c r="H1381">
        <v>703</v>
      </c>
    </row>
    <row r="1382" spans="1:23" x14ac:dyDescent="0.25">
      <c r="A1382">
        <v>688</v>
      </c>
      <c r="B1382">
        <v>2141</v>
      </c>
      <c r="C1382" t="s">
        <v>2139</v>
      </c>
      <c r="D1382" t="s">
        <v>40</v>
      </c>
      <c r="E1382" t="s">
        <v>15</v>
      </c>
      <c r="F1382" t="s">
        <v>2140</v>
      </c>
      <c r="G1382" t="str">
        <f>"201406015836"</f>
        <v>201406015836</v>
      </c>
      <c r="H1382">
        <v>979</v>
      </c>
      <c r="I1382">
        <v>0</v>
      </c>
      <c r="J1382">
        <v>70</v>
      </c>
      <c r="K1382">
        <v>30</v>
      </c>
      <c r="L1382">
        <v>30</v>
      </c>
      <c r="M1382">
        <v>0</v>
      </c>
      <c r="N1382">
        <v>0</v>
      </c>
      <c r="O1382">
        <v>0</v>
      </c>
      <c r="P1382">
        <v>0</v>
      </c>
      <c r="Q1382">
        <v>0</v>
      </c>
      <c r="R1382">
        <v>60</v>
      </c>
      <c r="S1382">
        <v>420</v>
      </c>
      <c r="T1382">
        <v>0</v>
      </c>
      <c r="V1382">
        <v>0</v>
      </c>
      <c r="W1382">
        <v>1529</v>
      </c>
    </row>
    <row r="1383" spans="1:23" x14ac:dyDescent="0.25">
      <c r="H1383" t="s">
        <v>70</v>
      </c>
    </row>
    <row r="1384" spans="1:23" x14ac:dyDescent="0.25">
      <c r="A1384">
        <v>689</v>
      </c>
      <c r="B1384">
        <v>789</v>
      </c>
      <c r="C1384" t="s">
        <v>2141</v>
      </c>
      <c r="D1384" t="s">
        <v>40</v>
      </c>
      <c r="E1384" t="s">
        <v>523</v>
      </c>
      <c r="F1384" t="s">
        <v>2142</v>
      </c>
      <c r="G1384" t="str">
        <f>"201511043058"</f>
        <v>201511043058</v>
      </c>
      <c r="H1384" t="s">
        <v>531</v>
      </c>
      <c r="I1384">
        <v>0</v>
      </c>
      <c r="J1384">
        <v>0</v>
      </c>
      <c r="K1384">
        <v>0</v>
      </c>
      <c r="L1384">
        <v>0</v>
      </c>
      <c r="M1384">
        <v>0</v>
      </c>
      <c r="N1384">
        <v>0</v>
      </c>
      <c r="O1384">
        <v>0</v>
      </c>
      <c r="P1384">
        <v>0</v>
      </c>
      <c r="Q1384">
        <v>0</v>
      </c>
      <c r="R1384">
        <v>84</v>
      </c>
      <c r="S1384">
        <v>588</v>
      </c>
      <c r="T1384">
        <v>0</v>
      </c>
      <c r="V1384">
        <v>0</v>
      </c>
      <c r="W1384" t="s">
        <v>2143</v>
      </c>
    </row>
    <row r="1385" spans="1:23" x14ac:dyDescent="0.25">
      <c r="H1385" t="s">
        <v>26</v>
      </c>
    </row>
    <row r="1386" spans="1:23" x14ac:dyDescent="0.25">
      <c r="A1386">
        <v>690</v>
      </c>
      <c r="B1386">
        <v>1680</v>
      </c>
      <c r="C1386" t="s">
        <v>2144</v>
      </c>
      <c r="D1386" t="s">
        <v>2145</v>
      </c>
      <c r="E1386" t="s">
        <v>53</v>
      </c>
      <c r="F1386" t="s">
        <v>2146</v>
      </c>
      <c r="G1386" t="str">
        <f>"00045028"</f>
        <v>00045028</v>
      </c>
      <c r="H1386" t="s">
        <v>2147</v>
      </c>
      <c r="I1386">
        <v>0</v>
      </c>
      <c r="J1386">
        <v>70</v>
      </c>
      <c r="K1386">
        <v>0</v>
      </c>
      <c r="L1386">
        <v>0</v>
      </c>
      <c r="M1386">
        <v>0</v>
      </c>
      <c r="N1386">
        <v>0</v>
      </c>
      <c r="O1386">
        <v>0</v>
      </c>
      <c r="P1386">
        <v>0</v>
      </c>
      <c r="Q1386">
        <v>0</v>
      </c>
      <c r="R1386">
        <v>84</v>
      </c>
      <c r="S1386">
        <v>588</v>
      </c>
      <c r="T1386">
        <v>0</v>
      </c>
      <c r="V1386">
        <v>0</v>
      </c>
      <c r="W1386" t="s">
        <v>2148</v>
      </c>
    </row>
    <row r="1387" spans="1:23" x14ac:dyDescent="0.25">
      <c r="H1387" t="s">
        <v>26</v>
      </c>
    </row>
    <row r="1388" spans="1:23" x14ac:dyDescent="0.25">
      <c r="A1388">
        <v>691</v>
      </c>
      <c r="B1388">
        <v>1768</v>
      </c>
      <c r="C1388" t="s">
        <v>2149</v>
      </c>
      <c r="D1388" t="s">
        <v>2150</v>
      </c>
      <c r="E1388" t="s">
        <v>2151</v>
      </c>
      <c r="F1388" t="s">
        <v>2152</v>
      </c>
      <c r="G1388" t="str">
        <f>"00007151"</f>
        <v>00007151</v>
      </c>
      <c r="H1388">
        <v>880</v>
      </c>
      <c r="I1388">
        <v>0</v>
      </c>
      <c r="J1388">
        <v>30</v>
      </c>
      <c r="K1388">
        <v>0</v>
      </c>
      <c r="L1388">
        <v>0</v>
      </c>
      <c r="M1388">
        <v>0</v>
      </c>
      <c r="N1388">
        <v>30</v>
      </c>
      <c r="O1388">
        <v>0</v>
      </c>
      <c r="P1388">
        <v>0</v>
      </c>
      <c r="Q1388">
        <v>0</v>
      </c>
      <c r="R1388">
        <v>84</v>
      </c>
      <c r="S1388">
        <v>588</v>
      </c>
      <c r="T1388">
        <v>0</v>
      </c>
      <c r="V1388">
        <v>1</v>
      </c>
      <c r="W1388">
        <v>1528</v>
      </c>
    </row>
    <row r="1389" spans="1:23" x14ac:dyDescent="0.25">
      <c r="H1389" t="s">
        <v>70</v>
      </c>
    </row>
    <row r="1390" spans="1:23" x14ac:dyDescent="0.25">
      <c r="A1390">
        <v>692</v>
      </c>
      <c r="B1390">
        <v>11</v>
      </c>
      <c r="C1390" t="s">
        <v>2153</v>
      </c>
      <c r="D1390" t="s">
        <v>46</v>
      </c>
      <c r="E1390" t="s">
        <v>41</v>
      </c>
      <c r="F1390" t="s">
        <v>2154</v>
      </c>
      <c r="G1390" t="str">
        <f>"201601000650"</f>
        <v>201601000650</v>
      </c>
      <c r="H1390" t="s">
        <v>574</v>
      </c>
      <c r="I1390">
        <v>0</v>
      </c>
      <c r="J1390">
        <v>30</v>
      </c>
      <c r="K1390">
        <v>0</v>
      </c>
      <c r="L1390">
        <v>0</v>
      </c>
      <c r="M1390">
        <v>0</v>
      </c>
      <c r="N1390">
        <v>0</v>
      </c>
      <c r="O1390">
        <v>0</v>
      </c>
      <c r="P1390">
        <v>0</v>
      </c>
      <c r="Q1390">
        <v>0</v>
      </c>
      <c r="R1390">
        <v>84</v>
      </c>
      <c r="S1390">
        <v>588</v>
      </c>
      <c r="T1390">
        <v>0</v>
      </c>
      <c r="V1390">
        <v>0</v>
      </c>
      <c r="W1390" t="s">
        <v>2155</v>
      </c>
    </row>
    <row r="1391" spans="1:23" x14ac:dyDescent="0.25">
      <c r="H1391">
        <v>703</v>
      </c>
    </row>
    <row r="1392" spans="1:23" x14ac:dyDescent="0.25">
      <c r="A1392">
        <v>693</v>
      </c>
      <c r="B1392">
        <v>3158</v>
      </c>
      <c r="C1392" t="s">
        <v>2156</v>
      </c>
      <c r="D1392" t="s">
        <v>1476</v>
      </c>
      <c r="E1392" t="s">
        <v>91</v>
      </c>
      <c r="F1392" t="s">
        <v>2157</v>
      </c>
      <c r="G1392" t="str">
        <f>"201410010742"</f>
        <v>201410010742</v>
      </c>
      <c r="H1392" t="s">
        <v>187</v>
      </c>
      <c r="I1392">
        <v>0</v>
      </c>
      <c r="J1392">
        <v>70</v>
      </c>
      <c r="K1392">
        <v>30</v>
      </c>
      <c r="L1392">
        <v>0</v>
      </c>
      <c r="M1392">
        <v>0</v>
      </c>
      <c r="N1392">
        <v>0</v>
      </c>
      <c r="O1392">
        <v>0</v>
      </c>
      <c r="P1392">
        <v>0</v>
      </c>
      <c r="Q1392">
        <v>0</v>
      </c>
      <c r="R1392">
        <v>57</v>
      </c>
      <c r="S1392">
        <v>399</v>
      </c>
      <c r="T1392">
        <v>0</v>
      </c>
      <c r="V1392">
        <v>0</v>
      </c>
      <c r="W1392" t="s">
        <v>2158</v>
      </c>
    </row>
    <row r="1393" spans="1:23" x14ac:dyDescent="0.25">
      <c r="H1393" t="s">
        <v>70</v>
      </c>
    </row>
    <row r="1394" spans="1:23" x14ac:dyDescent="0.25">
      <c r="A1394">
        <v>694</v>
      </c>
      <c r="B1394">
        <v>181</v>
      </c>
      <c r="C1394" t="s">
        <v>2159</v>
      </c>
      <c r="D1394" t="s">
        <v>28</v>
      </c>
      <c r="E1394" t="s">
        <v>58</v>
      </c>
      <c r="F1394" t="s">
        <v>2160</v>
      </c>
      <c r="G1394" t="str">
        <f>"200801004826"</f>
        <v>200801004826</v>
      </c>
      <c r="H1394" t="s">
        <v>2161</v>
      </c>
      <c r="I1394">
        <v>0</v>
      </c>
      <c r="J1394">
        <v>30</v>
      </c>
      <c r="K1394">
        <v>0</v>
      </c>
      <c r="L1394">
        <v>0</v>
      </c>
      <c r="M1394">
        <v>0</v>
      </c>
      <c r="N1394">
        <v>0</v>
      </c>
      <c r="O1394">
        <v>0</v>
      </c>
      <c r="P1394">
        <v>0</v>
      </c>
      <c r="Q1394">
        <v>0</v>
      </c>
      <c r="R1394">
        <v>84</v>
      </c>
      <c r="S1394">
        <v>588</v>
      </c>
      <c r="T1394">
        <v>0</v>
      </c>
      <c r="V1394">
        <v>0</v>
      </c>
      <c r="W1394" t="s">
        <v>2162</v>
      </c>
    </row>
    <row r="1395" spans="1:23" x14ac:dyDescent="0.25">
      <c r="H1395">
        <v>703</v>
      </c>
    </row>
    <row r="1396" spans="1:23" x14ac:dyDescent="0.25">
      <c r="A1396">
        <v>695</v>
      </c>
      <c r="B1396">
        <v>945</v>
      </c>
      <c r="C1396" t="s">
        <v>2163</v>
      </c>
      <c r="D1396" t="s">
        <v>912</v>
      </c>
      <c r="E1396" t="s">
        <v>752</v>
      </c>
      <c r="F1396" t="s">
        <v>2164</v>
      </c>
      <c r="G1396" t="str">
        <f>"201412005245"</f>
        <v>201412005245</v>
      </c>
      <c r="H1396">
        <v>1089</v>
      </c>
      <c r="I1396">
        <v>0</v>
      </c>
      <c r="J1396">
        <v>50</v>
      </c>
      <c r="K1396">
        <v>30</v>
      </c>
      <c r="L1396">
        <v>0</v>
      </c>
      <c r="M1396">
        <v>0</v>
      </c>
      <c r="N1396">
        <v>0</v>
      </c>
      <c r="O1396">
        <v>0</v>
      </c>
      <c r="P1396">
        <v>0</v>
      </c>
      <c r="Q1396">
        <v>0</v>
      </c>
      <c r="R1396">
        <v>51</v>
      </c>
      <c r="S1396">
        <v>357</v>
      </c>
      <c r="T1396">
        <v>0</v>
      </c>
      <c r="V1396">
        <v>0</v>
      </c>
      <c r="W1396">
        <v>1526</v>
      </c>
    </row>
    <row r="1397" spans="1:23" x14ac:dyDescent="0.25">
      <c r="H1397" t="s">
        <v>70</v>
      </c>
    </row>
    <row r="1398" spans="1:23" x14ac:dyDescent="0.25">
      <c r="A1398">
        <v>696</v>
      </c>
      <c r="B1398">
        <v>2530</v>
      </c>
      <c r="C1398" t="s">
        <v>2165</v>
      </c>
      <c r="D1398" t="s">
        <v>28</v>
      </c>
      <c r="E1398" t="s">
        <v>62</v>
      </c>
      <c r="F1398" t="s">
        <v>2166</v>
      </c>
      <c r="G1398" t="str">
        <f>"201402003141"</f>
        <v>201402003141</v>
      </c>
      <c r="H1398">
        <v>1078</v>
      </c>
      <c r="I1398">
        <v>0</v>
      </c>
      <c r="J1398">
        <v>70</v>
      </c>
      <c r="K1398">
        <v>0</v>
      </c>
      <c r="L1398">
        <v>0</v>
      </c>
      <c r="M1398">
        <v>0</v>
      </c>
      <c r="N1398">
        <v>0</v>
      </c>
      <c r="O1398">
        <v>0</v>
      </c>
      <c r="P1398">
        <v>0</v>
      </c>
      <c r="Q1398">
        <v>0</v>
      </c>
      <c r="R1398">
        <v>54</v>
      </c>
      <c r="S1398">
        <v>378</v>
      </c>
      <c r="T1398">
        <v>0</v>
      </c>
      <c r="V1398">
        <v>0</v>
      </c>
      <c r="W1398">
        <v>1526</v>
      </c>
    </row>
    <row r="1399" spans="1:23" x14ac:dyDescent="0.25">
      <c r="H1399" t="s">
        <v>26</v>
      </c>
    </row>
    <row r="1400" spans="1:23" x14ac:dyDescent="0.25">
      <c r="A1400">
        <v>697</v>
      </c>
      <c r="B1400">
        <v>574</v>
      </c>
      <c r="C1400" t="s">
        <v>2167</v>
      </c>
      <c r="D1400" t="s">
        <v>273</v>
      </c>
      <c r="E1400" t="s">
        <v>109</v>
      </c>
      <c r="F1400" t="s">
        <v>2168</v>
      </c>
      <c r="G1400" t="str">
        <f>"00142720"</f>
        <v>00142720</v>
      </c>
      <c r="H1400" t="s">
        <v>1049</v>
      </c>
      <c r="I1400">
        <v>0</v>
      </c>
      <c r="J1400">
        <v>30</v>
      </c>
      <c r="K1400">
        <v>0</v>
      </c>
      <c r="L1400">
        <v>0</v>
      </c>
      <c r="M1400">
        <v>0</v>
      </c>
      <c r="N1400">
        <v>0</v>
      </c>
      <c r="O1400">
        <v>0</v>
      </c>
      <c r="P1400">
        <v>0</v>
      </c>
      <c r="Q1400">
        <v>0</v>
      </c>
      <c r="R1400">
        <v>84</v>
      </c>
      <c r="S1400">
        <v>588</v>
      </c>
      <c r="T1400">
        <v>0</v>
      </c>
      <c r="V1400">
        <v>0</v>
      </c>
      <c r="W1400" t="s">
        <v>2169</v>
      </c>
    </row>
    <row r="1401" spans="1:23" x14ac:dyDescent="0.25">
      <c r="H1401">
        <v>703</v>
      </c>
    </row>
    <row r="1402" spans="1:23" x14ac:dyDescent="0.25">
      <c r="A1402">
        <v>698</v>
      </c>
      <c r="B1402">
        <v>620</v>
      </c>
      <c r="C1402" t="s">
        <v>2170</v>
      </c>
      <c r="D1402" t="s">
        <v>726</v>
      </c>
      <c r="E1402" t="s">
        <v>53</v>
      </c>
      <c r="F1402" t="s">
        <v>2171</v>
      </c>
      <c r="G1402" t="str">
        <f>"00186243"</f>
        <v>00186243</v>
      </c>
      <c r="H1402" t="s">
        <v>480</v>
      </c>
      <c r="I1402">
        <v>0</v>
      </c>
      <c r="J1402">
        <v>70</v>
      </c>
      <c r="K1402">
        <v>0</v>
      </c>
      <c r="L1402">
        <v>0</v>
      </c>
      <c r="M1402">
        <v>0</v>
      </c>
      <c r="N1402">
        <v>0</v>
      </c>
      <c r="O1402">
        <v>0</v>
      </c>
      <c r="P1402">
        <v>0</v>
      </c>
      <c r="Q1402">
        <v>0</v>
      </c>
      <c r="R1402">
        <v>65</v>
      </c>
      <c r="S1402">
        <v>455</v>
      </c>
      <c r="T1402">
        <v>0</v>
      </c>
      <c r="V1402">
        <v>0</v>
      </c>
      <c r="W1402" t="s">
        <v>2172</v>
      </c>
    </row>
    <row r="1403" spans="1:23" x14ac:dyDescent="0.25">
      <c r="H1403">
        <v>703</v>
      </c>
    </row>
    <row r="1404" spans="1:23" x14ac:dyDescent="0.25">
      <c r="A1404">
        <v>699</v>
      </c>
      <c r="B1404">
        <v>3148</v>
      </c>
      <c r="C1404" t="s">
        <v>2173</v>
      </c>
      <c r="D1404" t="s">
        <v>40</v>
      </c>
      <c r="E1404" t="s">
        <v>41</v>
      </c>
      <c r="F1404" t="s">
        <v>2174</v>
      </c>
      <c r="G1404" t="str">
        <f>"00105612"</f>
        <v>00105612</v>
      </c>
      <c r="H1404">
        <v>913</v>
      </c>
      <c r="I1404">
        <v>0</v>
      </c>
      <c r="J1404">
        <v>70</v>
      </c>
      <c r="K1404">
        <v>0</v>
      </c>
      <c r="L1404">
        <v>30</v>
      </c>
      <c r="M1404">
        <v>0</v>
      </c>
      <c r="N1404">
        <v>0</v>
      </c>
      <c r="O1404">
        <v>0</v>
      </c>
      <c r="P1404">
        <v>0</v>
      </c>
      <c r="Q1404">
        <v>0</v>
      </c>
      <c r="R1404">
        <v>73</v>
      </c>
      <c r="S1404">
        <v>511</v>
      </c>
      <c r="T1404">
        <v>0</v>
      </c>
      <c r="V1404">
        <v>0</v>
      </c>
      <c r="W1404">
        <v>1524</v>
      </c>
    </row>
    <row r="1405" spans="1:23" x14ac:dyDescent="0.25">
      <c r="H1405" t="s">
        <v>70</v>
      </c>
    </row>
    <row r="1406" spans="1:23" x14ac:dyDescent="0.25">
      <c r="A1406">
        <v>700</v>
      </c>
      <c r="B1406">
        <v>1076</v>
      </c>
      <c r="C1406" t="s">
        <v>2175</v>
      </c>
      <c r="D1406" t="s">
        <v>194</v>
      </c>
      <c r="E1406" t="s">
        <v>91</v>
      </c>
      <c r="F1406" t="s">
        <v>2176</v>
      </c>
      <c r="G1406" t="str">
        <f>"00186793"</f>
        <v>00186793</v>
      </c>
      <c r="H1406" t="s">
        <v>2177</v>
      </c>
      <c r="I1406">
        <v>150</v>
      </c>
      <c r="J1406">
        <v>30</v>
      </c>
      <c r="K1406">
        <v>0</v>
      </c>
      <c r="L1406">
        <v>0</v>
      </c>
      <c r="M1406">
        <v>0</v>
      </c>
      <c r="N1406">
        <v>0</v>
      </c>
      <c r="O1406">
        <v>0</v>
      </c>
      <c r="P1406">
        <v>0</v>
      </c>
      <c r="Q1406">
        <v>0</v>
      </c>
      <c r="R1406">
        <v>84</v>
      </c>
      <c r="S1406">
        <v>588</v>
      </c>
      <c r="T1406">
        <v>0</v>
      </c>
      <c r="V1406">
        <v>3</v>
      </c>
      <c r="W1406" t="s">
        <v>2178</v>
      </c>
    </row>
    <row r="1407" spans="1:23" x14ac:dyDescent="0.25">
      <c r="H1407">
        <v>703</v>
      </c>
    </row>
    <row r="1408" spans="1:23" x14ac:dyDescent="0.25">
      <c r="A1408">
        <v>701</v>
      </c>
      <c r="B1408">
        <v>1583</v>
      </c>
      <c r="C1408" t="s">
        <v>2179</v>
      </c>
      <c r="D1408" t="s">
        <v>527</v>
      </c>
      <c r="E1408" t="s">
        <v>2180</v>
      </c>
      <c r="F1408" t="s">
        <v>2181</v>
      </c>
      <c r="G1408" t="str">
        <f>"00162019"</f>
        <v>00162019</v>
      </c>
      <c r="H1408">
        <v>935</v>
      </c>
      <c r="I1408">
        <v>0</v>
      </c>
      <c r="J1408">
        <v>0</v>
      </c>
      <c r="K1408">
        <v>0</v>
      </c>
      <c r="L1408">
        <v>0</v>
      </c>
      <c r="M1408">
        <v>0</v>
      </c>
      <c r="N1408">
        <v>0</v>
      </c>
      <c r="O1408">
        <v>0</v>
      </c>
      <c r="P1408">
        <v>0</v>
      </c>
      <c r="Q1408">
        <v>0</v>
      </c>
      <c r="R1408">
        <v>84</v>
      </c>
      <c r="S1408">
        <v>588</v>
      </c>
      <c r="T1408">
        <v>0</v>
      </c>
      <c r="V1408">
        <v>2</v>
      </c>
      <c r="W1408">
        <v>1523</v>
      </c>
    </row>
    <row r="1409" spans="1:23" x14ac:dyDescent="0.25">
      <c r="H1409">
        <v>703</v>
      </c>
    </row>
    <row r="1410" spans="1:23" x14ac:dyDescent="0.25">
      <c r="A1410">
        <v>702</v>
      </c>
      <c r="B1410">
        <v>211</v>
      </c>
      <c r="C1410" t="s">
        <v>2182</v>
      </c>
      <c r="D1410" t="s">
        <v>105</v>
      </c>
      <c r="E1410" t="s">
        <v>105</v>
      </c>
      <c r="F1410" t="s">
        <v>2183</v>
      </c>
      <c r="G1410" t="str">
        <f>"201405000960"</f>
        <v>201405000960</v>
      </c>
      <c r="H1410">
        <v>715</v>
      </c>
      <c r="I1410">
        <v>150</v>
      </c>
      <c r="J1410">
        <v>70</v>
      </c>
      <c r="K1410">
        <v>0</v>
      </c>
      <c r="L1410">
        <v>0</v>
      </c>
      <c r="M1410">
        <v>0</v>
      </c>
      <c r="N1410">
        <v>0</v>
      </c>
      <c r="O1410">
        <v>0</v>
      </c>
      <c r="P1410">
        <v>0</v>
      </c>
      <c r="Q1410">
        <v>0</v>
      </c>
      <c r="R1410">
        <v>84</v>
      </c>
      <c r="S1410">
        <v>588</v>
      </c>
      <c r="T1410">
        <v>0</v>
      </c>
      <c r="V1410">
        <v>0</v>
      </c>
      <c r="W1410">
        <v>1523</v>
      </c>
    </row>
    <row r="1411" spans="1:23" x14ac:dyDescent="0.25">
      <c r="H1411" t="s">
        <v>70</v>
      </c>
    </row>
    <row r="1412" spans="1:23" x14ac:dyDescent="0.25">
      <c r="A1412">
        <v>703</v>
      </c>
      <c r="B1412">
        <v>1526</v>
      </c>
      <c r="C1412" t="s">
        <v>2184</v>
      </c>
      <c r="D1412" t="s">
        <v>1080</v>
      </c>
      <c r="E1412" t="s">
        <v>105</v>
      </c>
      <c r="F1412" t="s">
        <v>2185</v>
      </c>
      <c r="G1412" t="str">
        <f>"00142333"</f>
        <v>00142333</v>
      </c>
      <c r="H1412" t="s">
        <v>2186</v>
      </c>
      <c r="I1412">
        <v>0</v>
      </c>
      <c r="J1412">
        <v>70</v>
      </c>
      <c r="K1412">
        <v>0</v>
      </c>
      <c r="L1412">
        <v>0</v>
      </c>
      <c r="M1412">
        <v>0</v>
      </c>
      <c r="N1412">
        <v>0</v>
      </c>
      <c r="O1412">
        <v>0</v>
      </c>
      <c r="P1412">
        <v>0</v>
      </c>
      <c r="Q1412">
        <v>0</v>
      </c>
      <c r="R1412">
        <v>84</v>
      </c>
      <c r="S1412">
        <v>588</v>
      </c>
      <c r="T1412">
        <v>0</v>
      </c>
      <c r="V1412">
        <v>0</v>
      </c>
      <c r="W1412" t="s">
        <v>2187</v>
      </c>
    </row>
    <row r="1413" spans="1:23" x14ac:dyDescent="0.25">
      <c r="H1413">
        <v>703</v>
      </c>
    </row>
    <row r="1414" spans="1:23" x14ac:dyDescent="0.25">
      <c r="A1414">
        <v>704</v>
      </c>
      <c r="B1414">
        <v>1628</v>
      </c>
      <c r="C1414" t="s">
        <v>2188</v>
      </c>
      <c r="D1414" t="s">
        <v>2189</v>
      </c>
      <c r="E1414" t="s">
        <v>752</v>
      </c>
      <c r="F1414" t="s">
        <v>2190</v>
      </c>
      <c r="G1414" t="str">
        <f>"200802003182"</f>
        <v>200802003182</v>
      </c>
      <c r="H1414" t="s">
        <v>2191</v>
      </c>
      <c r="I1414">
        <v>150</v>
      </c>
      <c r="J1414">
        <v>30</v>
      </c>
      <c r="K1414">
        <v>0</v>
      </c>
      <c r="L1414">
        <v>0</v>
      </c>
      <c r="M1414">
        <v>0</v>
      </c>
      <c r="N1414">
        <v>0</v>
      </c>
      <c r="O1414">
        <v>0</v>
      </c>
      <c r="P1414">
        <v>0</v>
      </c>
      <c r="Q1414">
        <v>0</v>
      </c>
      <c r="R1414">
        <v>84</v>
      </c>
      <c r="S1414">
        <v>588</v>
      </c>
      <c r="T1414">
        <v>0</v>
      </c>
      <c r="V1414">
        <v>0</v>
      </c>
      <c r="W1414" t="s">
        <v>2187</v>
      </c>
    </row>
    <row r="1415" spans="1:23" x14ac:dyDescent="0.25">
      <c r="H1415" t="s">
        <v>26</v>
      </c>
    </row>
    <row r="1416" spans="1:23" x14ac:dyDescent="0.25">
      <c r="A1416">
        <v>705</v>
      </c>
      <c r="B1416">
        <v>1187</v>
      </c>
      <c r="C1416" t="s">
        <v>1882</v>
      </c>
      <c r="D1416" t="s">
        <v>46</v>
      </c>
      <c r="E1416" t="s">
        <v>91</v>
      </c>
      <c r="F1416" t="s">
        <v>2192</v>
      </c>
      <c r="G1416" t="str">
        <f>"201410002612"</f>
        <v>201410002612</v>
      </c>
      <c r="H1416" t="s">
        <v>1241</v>
      </c>
      <c r="I1416">
        <v>150</v>
      </c>
      <c r="J1416">
        <v>30</v>
      </c>
      <c r="K1416">
        <v>0</v>
      </c>
      <c r="L1416">
        <v>0</v>
      </c>
      <c r="M1416">
        <v>0</v>
      </c>
      <c r="N1416">
        <v>0</v>
      </c>
      <c r="O1416">
        <v>0</v>
      </c>
      <c r="P1416">
        <v>0</v>
      </c>
      <c r="Q1416">
        <v>0</v>
      </c>
      <c r="R1416">
        <v>65</v>
      </c>
      <c r="S1416">
        <v>455</v>
      </c>
      <c r="T1416">
        <v>0</v>
      </c>
      <c r="V1416">
        <v>0</v>
      </c>
      <c r="W1416" t="s">
        <v>2193</v>
      </c>
    </row>
    <row r="1417" spans="1:23" x14ac:dyDescent="0.25">
      <c r="H1417" t="s">
        <v>26</v>
      </c>
    </row>
    <row r="1418" spans="1:23" x14ac:dyDescent="0.25">
      <c r="A1418">
        <v>706</v>
      </c>
      <c r="B1418">
        <v>2446</v>
      </c>
      <c r="C1418" t="s">
        <v>2194</v>
      </c>
      <c r="D1418" t="s">
        <v>91</v>
      </c>
      <c r="E1418" t="s">
        <v>41</v>
      </c>
      <c r="F1418" t="s">
        <v>2195</v>
      </c>
      <c r="G1418" t="str">
        <f>"00134744"</f>
        <v>00134744</v>
      </c>
      <c r="H1418" t="s">
        <v>137</v>
      </c>
      <c r="I1418">
        <v>150</v>
      </c>
      <c r="J1418">
        <v>30</v>
      </c>
      <c r="K1418">
        <v>0</v>
      </c>
      <c r="L1418">
        <v>0</v>
      </c>
      <c r="M1418">
        <v>0</v>
      </c>
      <c r="N1418">
        <v>0</v>
      </c>
      <c r="O1418">
        <v>0</v>
      </c>
      <c r="P1418">
        <v>0</v>
      </c>
      <c r="Q1418">
        <v>0</v>
      </c>
      <c r="R1418">
        <v>38</v>
      </c>
      <c r="S1418">
        <v>266</v>
      </c>
      <c r="T1418">
        <v>0</v>
      </c>
      <c r="V1418">
        <v>0</v>
      </c>
      <c r="W1418" t="s">
        <v>2196</v>
      </c>
    </row>
    <row r="1419" spans="1:23" x14ac:dyDescent="0.25">
      <c r="H1419">
        <v>703</v>
      </c>
    </row>
    <row r="1420" spans="1:23" x14ac:dyDescent="0.25">
      <c r="A1420">
        <v>707</v>
      </c>
      <c r="B1420">
        <v>1828</v>
      </c>
      <c r="C1420" t="s">
        <v>2197</v>
      </c>
      <c r="D1420" t="s">
        <v>344</v>
      </c>
      <c r="E1420" t="s">
        <v>2198</v>
      </c>
      <c r="F1420" t="s">
        <v>2199</v>
      </c>
      <c r="G1420" t="str">
        <f>"00145307"</f>
        <v>00145307</v>
      </c>
      <c r="H1420">
        <v>1100</v>
      </c>
      <c r="I1420">
        <v>150</v>
      </c>
      <c r="J1420">
        <v>30</v>
      </c>
      <c r="K1420">
        <v>0</v>
      </c>
      <c r="L1420">
        <v>0</v>
      </c>
      <c r="M1420">
        <v>0</v>
      </c>
      <c r="N1420">
        <v>0</v>
      </c>
      <c r="O1420">
        <v>0</v>
      </c>
      <c r="P1420">
        <v>0</v>
      </c>
      <c r="Q1420">
        <v>0</v>
      </c>
      <c r="R1420">
        <v>34</v>
      </c>
      <c r="S1420">
        <v>238</v>
      </c>
      <c r="T1420">
        <v>0</v>
      </c>
      <c r="V1420">
        <v>0</v>
      </c>
      <c r="W1420">
        <v>1518</v>
      </c>
    </row>
    <row r="1421" spans="1:23" x14ac:dyDescent="0.25">
      <c r="H1421" t="s">
        <v>70</v>
      </c>
    </row>
    <row r="1422" spans="1:23" x14ac:dyDescent="0.25">
      <c r="A1422">
        <v>708</v>
      </c>
      <c r="B1422">
        <v>924</v>
      </c>
      <c r="C1422" t="s">
        <v>1313</v>
      </c>
      <c r="D1422" t="s">
        <v>273</v>
      </c>
      <c r="E1422" t="s">
        <v>53</v>
      </c>
      <c r="F1422" t="s">
        <v>2200</v>
      </c>
      <c r="G1422" t="str">
        <f>"00003335"</f>
        <v>00003335</v>
      </c>
      <c r="H1422" t="s">
        <v>1532</v>
      </c>
      <c r="I1422">
        <v>0</v>
      </c>
      <c r="J1422">
        <v>0</v>
      </c>
      <c r="K1422">
        <v>0</v>
      </c>
      <c r="L1422">
        <v>0</v>
      </c>
      <c r="M1422">
        <v>0</v>
      </c>
      <c r="N1422">
        <v>0</v>
      </c>
      <c r="O1422">
        <v>0</v>
      </c>
      <c r="P1422">
        <v>0</v>
      </c>
      <c r="Q1422">
        <v>0</v>
      </c>
      <c r="R1422">
        <v>84</v>
      </c>
      <c r="S1422">
        <v>588</v>
      </c>
      <c r="T1422">
        <v>0</v>
      </c>
      <c r="V1422">
        <v>0</v>
      </c>
      <c r="W1422" t="s">
        <v>2201</v>
      </c>
    </row>
    <row r="1423" spans="1:23" x14ac:dyDescent="0.25">
      <c r="H1423">
        <v>703</v>
      </c>
    </row>
    <row r="1424" spans="1:23" x14ac:dyDescent="0.25">
      <c r="A1424">
        <v>709</v>
      </c>
      <c r="B1424">
        <v>2248</v>
      </c>
      <c r="C1424" t="s">
        <v>2202</v>
      </c>
      <c r="D1424" t="s">
        <v>53</v>
      </c>
      <c r="E1424" t="s">
        <v>99</v>
      </c>
      <c r="F1424" t="s">
        <v>2203</v>
      </c>
      <c r="G1424" t="str">
        <f>"00160386"</f>
        <v>00160386</v>
      </c>
      <c r="H1424">
        <v>880</v>
      </c>
      <c r="I1424">
        <v>0</v>
      </c>
      <c r="J1424">
        <v>70</v>
      </c>
      <c r="K1424">
        <v>0</v>
      </c>
      <c r="L1424">
        <v>0</v>
      </c>
      <c r="M1424">
        <v>0</v>
      </c>
      <c r="N1424">
        <v>0</v>
      </c>
      <c r="O1424">
        <v>0</v>
      </c>
      <c r="P1424">
        <v>0</v>
      </c>
      <c r="Q1424">
        <v>0</v>
      </c>
      <c r="R1424">
        <v>81</v>
      </c>
      <c r="S1424">
        <v>567</v>
      </c>
      <c r="T1424">
        <v>0</v>
      </c>
      <c r="V1424">
        <v>1</v>
      </c>
      <c r="W1424">
        <v>1517</v>
      </c>
    </row>
    <row r="1425" spans="1:23" x14ac:dyDescent="0.25">
      <c r="H1425">
        <v>703</v>
      </c>
    </row>
    <row r="1426" spans="1:23" x14ac:dyDescent="0.25">
      <c r="A1426">
        <v>710</v>
      </c>
      <c r="B1426">
        <v>94</v>
      </c>
      <c r="C1426" t="s">
        <v>474</v>
      </c>
      <c r="D1426" t="s">
        <v>432</v>
      </c>
      <c r="E1426" t="s">
        <v>109</v>
      </c>
      <c r="F1426" t="s">
        <v>2204</v>
      </c>
      <c r="G1426" t="str">
        <f>"00222607"</f>
        <v>00222607</v>
      </c>
      <c r="H1426">
        <v>858</v>
      </c>
      <c r="I1426">
        <v>0</v>
      </c>
      <c r="J1426">
        <v>70</v>
      </c>
      <c r="K1426">
        <v>0</v>
      </c>
      <c r="L1426">
        <v>0</v>
      </c>
      <c r="M1426">
        <v>0</v>
      </c>
      <c r="N1426">
        <v>0</v>
      </c>
      <c r="O1426">
        <v>0</v>
      </c>
      <c r="P1426">
        <v>0</v>
      </c>
      <c r="Q1426">
        <v>0</v>
      </c>
      <c r="R1426">
        <v>84</v>
      </c>
      <c r="S1426">
        <v>588</v>
      </c>
      <c r="T1426">
        <v>0</v>
      </c>
      <c r="V1426">
        <v>0</v>
      </c>
      <c r="W1426">
        <v>1516</v>
      </c>
    </row>
    <row r="1427" spans="1:23" x14ac:dyDescent="0.25">
      <c r="H1427">
        <v>703</v>
      </c>
    </row>
    <row r="1428" spans="1:23" x14ac:dyDescent="0.25">
      <c r="A1428">
        <v>711</v>
      </c>
      <c r="B1428">
        <v>2590</v>
      </c>
      <c r="C1428" t="s">
        <v>2205</v>
      </c>
      <c r="D1428" t="s">
        <v>254</v>
      </c>
      <c r="E1428" t="s">
        <v>76</v>
      </c>
      <c r="F1428" t="s">
        <v>2206</v>
      </c>
      <c r="G1428" t="str">
        <f>"201303000025"</f>
        <v>201303000025</v>
      </c>
      <c r="H1428" t="s">
        <v>281</v>
      </c>
      <c r="I1428">
        <v>0</v>
      </c>
      <c r="J1428">
        <v>70</v>
      </c>
      <c r="K1428">
        <v>0</v>
      </c>
      <c r="L1428">
        <v>0</v>
      </c>
      <c r="M1428">
        <v>0</v>
      </c>
      <c r="N1428">
        <v>0</v>
      </c>
      <c r="O1428">
        <v>0</v>
      </c>
      <c r="P1428">
        <v>0</v>
      </c>
      <c r="Q1428">
        <v>0</v>
      </c>
      <c r="R1428">
        <v>58</v>
      </c>
      <c r="S1428">
        <v>406</v>
      </c>
      <c r="T1428">
        <v>0</v>
      </c>
      <c r="V1428">
        <v>0</v>
      </c>
      <c r="W1428" t="s">
        <v>2207</v>
      </c>
    </row>
    <row r="1429" spans="1:23" x14ac:dyDescent="0.25">
      <c r="H1429">
        <v>703</v>
      </c>
    </row>
    <row r="1430" spans="1:23" x14ac:dyDescent="0.25">
      <c r="A1430">
        <v>712</v>
      </c>
      <c r="B1430">
        <v>1923</v>
      </c>
      <c r="C1430" t="s">
        <v>2208</v>
      </c>
      <c r="D1430" t="s">
        <v>28</v>
      </c>
      <c r="E1430" t="s">
        <v>24</v>
      </c>
      <c r="F1430" t="s">
        <v>2209</v>
      </c>
      <c r="G1430" t="str">
        <f>"00188261"</f>
        <v>00188261</v>
      </c>
      <c r="H1430" t="s">
        <v>1001</v>
      </c>
      <c r="I1430">
        <v>0</v>
      </c>
      <c r="J1430">
        <v>30</v>
      </c>
      <c r="K1430">
        <v>0</v>
      </c>
      <c r="L1430">
        <v>0</v>
      </c>
      <c r="M1430">
        <v>0</v>
      </c>
      <c r="N1430">
        <v>0</v>
      </c>
      <c r="O1430">
        <v>0</v>
      </c>
      <c r="P1430">
        <v>0</v>
      </c>
      <c r="Q1430">
        <v>0</v>
      </c>
      <c r="R1430">
        <v>84</v>
      </c>
      <c r="S1430">
        <v>588</v>
      </c>
      <c r="T1430">
        <v>0</v>
      </c>
      <c r="V1430">
        <v>2</v>
      </c>
      <c r="W1430" t="s">
        <v>2210</v>
      </c>
    </row>
    <row r="1431" spans="1:23" x14ac:dyDescent="0.25">
      <c r="H1431">
        <v>703</v>
      </c>
    </row>
    <row r="1432" spans="1:23" x14ac:dyDescent="0.25">
      <c r="A1432">
        <v>713</v>
      </c>
      <c r="B1432">
        <v>84</v>
      </c>
      <c r="C1432" t="s">
        <v>2211</v>
      </c>
      <c r="D1432" t="s">
        <v>76</v>
      </c>
      <c r="E1432" t="s">
        <v>109</v>
      </c>
      <c r="F1432" t="s">
        <v>2212</v>
      </c>
      <c r="G1432" t="str">
        <f>"00223676"</f>
        <v>00223676</v>
      </c>
      <c r="H1432" t="s">
        <v>1001</v>
      </c>
      <c r="I1432">
        <v>0</v>
      </c>
      <c r="J1432">
        <v>30</v>
      </c>
      <c r="K1432">
        <v>0</v>
      </c>
      <c r="L1432">
        <v>0</v>
      </c>
      <c r="M1432">
        <v>0</v>
      </c>
      <c r="N1432">
        <v>0</v>
      </c>
      <c r="O1432">
        <v>0</v>
      </c>
      <c r="P1432">
        <v>0</v>
      </c>
      <c r="Q1432">
        <v>0</v>
      </c>
      <c r="R1432">
        <v>84</v>
      </c>
      <c r="S1432">
        <v>588</v>
      </c>
      <c r="T1432">
        <v>0</v>
      </c>
      <c r="V1432">
        <v>0</v>
      </c>
      <c r="W1432" t="s">
        <v>2210</v>
      </c>
    </row>
    <row r="1433" spans="1:23" x14ac:dyDescent="0.25">
      <c r="H1433">
        <v>703</v>
      </c>
    </row>
    <row r="1434" spans="1:23" x14ac:dyDescent="0.25">
      <c r="A1434">
        <v>714</v>
      </c>
      <c r="B1434">
        <v>2959</v>
      </c>
      <c r="C1434" t="s">
        <v>2213</v>
      </c>
      <c r="D1434" t="s">
        <v>361</v>
      </c>
      <c r="E1434" t="s">
        <v>752</v>
      </c>
      <c r="F1434" t="s">
        <v>2214</v>
      </c>
      <c r="G1434" t="str">
        <f>"200801002473"</f>
        <v>200801002473</v>
      </c>
      <c r="H1434" t="s">
        <v>2215</v>
      </c>
      <c r="I1434">
        <v>0</v>
      </c>
      <c r="J1434">
        <v>0</v>
      </c>
      <c r="K1434">
        <v>0</v>
      </c>
      <c r="L1434">
        <v>0</v>
      </c>
      <c r="M1434">
        <v>0</v>
      </c>
      <c r="N1434">
        <v>0</v>
      </c>
      <c r="O1434">
        <v>0</v>
      </c>
      <c r="P1434">
        <v>0</v>
      </c>
      <c r="Q1434">
        <v>0</v>
      </c>
      <c r="R1434">
        <v>84</v>
      </c>
      <c r="S1434">
        <v>588</v>
      </c>
      <c r="T1434">
        <v>0</v>
      </c>
      <c r="V1434">
        <v>0</v>
      </c>
      <c r="W1434" t="s">
        <v>2216</v>
      </c>
    </row>
    <row r="1435" spans="1:23" x14ac:dyDescent="0.25">
      <c r="H1435">
        <v>703</v>
      </c>
    </row>
    <row r="1436" spans="1:23" x14ac:dyDescent="0.25">
      <c r="A1436">
        <v>715</v>
      </c>
      <c r="B1436">
        <v>2564</v>
      </c>
      <c r="C1436" t="s">
        <v>2217</v>
      </c>
      <c r="D1436" t="s">
        <v>219</v>
      </c>
      <c r="E1436" t="s">
        <v>105</v>
      </c>
      <c r="F1436" t="s">
        <v>2218</v>
      </c>
      <c r="G1436" t="str">
        <f>"201402003025"</f>
        <v>201402003025</v>
      </c>
      <c r="H1436">
        <v>825</v>
      </c>
      <c r="I1436">
        <v>0</v>
      </c>
      <c r="J1436">
        <v>70</v>
      </c>
      <c r="K1436">
        <v>30</v>
      </c>
      <c r="L1436">
        <v>0</v>
      </c>
      <c r="M1436">
        <v>0</v>
      </c>
      <c r="N1436">
        <v>0</v>
      </c>
      <c r="O1436">
        <v>0</v>
      </c>
      <c r="P1436">
        <v>0</v>
      </c>
      <c r="Q1436">
        <v>0</v>
      </c>
      <c r="R1436">
        <v>84</v>
      </c>
      <c r="S1436">
        <v>588</v>
      </c>
      <c r="T1436">
        <v>0</v>
      </c>
      <c r="V1436">
        <v>0</v>
      </c>
      <c r="W1436">
        <v>1513</v>
      </c>
    </row>
    <row r="1437" spans="1:23" x14ac:dyDescent="0.25">
      <c r="H1437" t="s">
        <v>26</v>
      </c>
    </row>
    <row r="1438" spans="1:23" x14ac:dyDescent="0.25">
      <c r="A1438">
        <v>716</v>
      </c>
      <c r="B1438">
        <v>2928</v>
      </c>
      <c r="C1438" t="s">
        <v>1727</v>
      </c>
      <c r="D1438" t="s">
        <v>20</v>
      </c>
      <c r="E1438" t="s">
        <v>91</v>
      </c>
      <c r="F1438" t="s">
        <v>2219</v>
      </c>
      <c r="G1438" t="str">
        <f>"00182645"</f>
        <v>00182645</v>
      </c>
      <c r="H1438" t="s">
        <v>1014</v>
      </c>
      <c r="I1438">
        <v>0</v>
      </c>
      <c r="J1438">
        <v>0</v>
      </c>
      <c r="K1438">
        <v>0</v>
      </c>
      <c r="L1438">
        <v>50</v>
      </c>
      <c r="M1438">
        <v>0</v>
      </c>
      <c r="N1438">
        <v>0</v>
      </c>
      <c r="O1438">
        <v>0</v>
      </c>
      <c r="P1438">
        <v>0</v>
      </c>
      <c r="Q1438">
        <v>0</v>
      </c>
      <c r="R1438">
        <v>84</v>
      </c>
      <c r="S1438">
        <v>588</v>
      </c>
      <c r="T1438">
        <v>0</v>
      </c>
      <c r="V1438">
        <v>1</v>
      </c>
      <c r="W1438" t="s">
        <v>2220</v>
      </c>
    </row>
    <row r="1439" spans="1:23" x14ac:dyDescent="0.25">
      <c r="H1439">
        <v>703</v>
      </c>
    </row>
    <row r="1440" spans="1:23" x14ac:dyDescent="0.25">
      <c r="A1440">
        <v>717</v>
      </c>
      <c r="B1440">
        <v>1284</v>
      </c>
      <c r="C1440" t="s">
        <v>2221</v>
      </c>
      <c r="D1440" t="s">
        <v>912</v>
      </c>
      <c r="E1440" t="s">
        <v>53</v>
      </c>
      <c r="F1440" t="s">
        <v>2222</v>
      </c>
      <c r="G1440" t="str">
        <f>"201506000201"</f>
        <v>201506000201</v>
      </c>
      <c r="H1440" t="s">
        <v>800</v>
      </c>
      <c r="I1440">
        <v>0</v>
      </c>
      <c r="J1440">
        <v>30</v>
      </c>
      <c r="K1440">
        <v>0</v>
      </c>
      <c r="L1440">
        <v>0</v>
      </c>
      <c r="M1440">
        <v>0</v>
      </c>
      <c r="N1440">
        <v>0</v>
      </c>
      <c r="O1440">
        <v>0</v>
      </c>
      <c r="P1440">
        <v>0</v>
      </c>
      <c r="Q1440">
        <v>0</v>
      </c>
      <c r="R1440">
        <v>84</v>
      </c>
      <c r="S1440">
        <v>588</v>
      </c>
      <c r="T1440">
        <v>0</v>
      </c>
      <c r="V1440">
        <v>0</v>
      </c>
      <c r="W1440" t="s">
        <v>2223</v>
      </c>
    </row>
    <row r="1441" spans="1:23" x14ac:dyDescent="0.25">
      <c r="H1441">
        <v>703</v>
      </c>
    </row>
    <row r="1442" spans="1:23" x14ac:dyDescent="0.25">
      <c r="A1442">
        <v>718</v>
      </c>
      <c r="B1442">
        <v>1124</v>
      </c>
      <c r="C1442" t="s">
        <v>2224</v>
      </c>
      <c r="D1442" t="s">
        <v>99</v>
      </c>
      <c r="E1442" t="s">
        <v>303</v>
      </c>
      <c r="F1442" t="s">
        <v>2225</v>
      </c>
      <c r="G1442" t="str">
        <f>"00222122"</f>
        <v>00222122</v>
      </c>
      <c r="H1442" t="s">
        <v>800</v>
      </c>
      <c r="I1442">
        <v>0</v>
      </c>
      <c r="J1442">
        <v>30</v>
      </c>
      <c r="K1442">
        <v>0</v>
      </c>
      <c r="L1442">
        <v>0</v>
      </c>
      <c r="M1442">
        <v>0</v>
      </c>
      <c r="N1442">
        <v>0</v>
      </c>
      <c r="O1442">
        <v>0</v>
      </c>
      <c r="P1442">
        <v>0</v>
      </c>
      <c r="Q1442">
        <v>0</v>
      </c>
      <c r="R1442">
        <v>84</v>
      </c>
      <c r="S1442">
        <v>588</v>
      </c>
      <c r="T1442">
        <v>0</v>
      </c>
      <c r="V1442">
        <v>0</v>
      </c>
      <c r="W1442" t="s">
        <v>2223</v>
      </c>
    </row>
    <row r="1443" spans="1:23" x14ac:dyDescent="0.25">
      <c r="H1443">
        <v>703</v>
      </c>
    </row>
    <row r="1444" spans="1:23" x14ac:dyDescent="0.25">
      <c r="A1444">
        <v>719</v>
      </c>
      <c r="B1444">
        <v>3104</v>
      </c>
      <c r="C1444" t="s">
        <v>1057</v>
      </c>
      <c r="D1444" t="s">
        <v>21</v>
      </c>
      <c r="E1444" t="s">
        <v>53</v>
      </c>
      <c r="F1444" t="s">
        <v>2226</v>
      </c>
      <c r="G1444" t="str">
        <f>"201402002750"</f>
        <v>201402002750</v>
      </c>
      <c r="H1444" t="s">
        <v>800</v>
      </c>
      <c r="I1444">
        <v>0</v>
      </c>
      <c r="J1444">
        <v>30</v>
      </c>
      <c r="K1444">
        <v>0</v>
      </c>
      <c r="L1444">
        <v>0</v>
      </c>
      <c r="M1444">
        <v>0</v>
      </c>
      <c r="N1444">
        <v>0</v>
      </c>
      <c r="O1444">
        <v>0</v>
      </c>
      <c r="P1444">
        <v>0</v>
      </c>
      <c r="Q1444">
        <v>0</v>
      </c>
      <c r="R1444">
        <v>84</v>
      </c>
      <c r="S1444">
        <v>588</v>
      </c>
      <c r="T1444">
        <v>0</v>
      </c>
      <c r="V1444">
        <v>0</v>
      </c>
      <c r="W1444" t="s">
        <v>2223</v>
      </c>
    </row>
    <row r="1445" spans="1:23" x14ac:dyDescent="0.25">
      <c r="H1445">
        <v>703</v>
      </c>
    </row>
    <row r="1446" spans="1:23" x14ac:dyDescent="0.25">
      <c r="A1446">
        <v>720</v>
      </c>
      <c r="B1446">
        <v>313</v>
      </c>
      <c r="C1446" t="s">
        <v>2227</v>
      </c>
      <c r="D1446" t="s">
        <v>53</v>
      </c>
      <c r="E1446" t="s">
        <v>99</v>
      </c>
      <c r="F1446" t="s">
        <v>2228</v>
      </c>
      <c r="G1446" t="str">
        <f>"00074306"</f>
        <v>00074306</v>
      </c>
      <c r="H1446">
        <v>924</v>
      </c>
      <c r="I1446">
        <v>0</v>
      </c>
      <c r="J1446">
        <v>0</v>
      </c>
      <c r="K1446">
        <v>0</v>
      </c>
      <c r="L1446">
        <v>0</v>
      </c>
      <c r="M1446">
        <v>0</v>
      </c>
      <c r="N1446">
        <v>0</v>
      </c>
      <c r="O1446">
        <v>0</v>
      </c>
      <c r="P1446">
        <v>0</v>
      </c>
      <c r="Q1446">
        <v>0</v>
      </c>
      <c r="R1446">
        <v>84</v>
      </c>
      <c r="S1446">
        <v>588</v>
      </c>
      <c r="T1446">
        <v>0</v>
      </c>
      <c r="V1446">
        <v>1</v>
      </c>
      <c r="W1446">
        <v>1512</v>
      </c>
    </row>
    <row r="1447" spans="1:23" x14ac:dyDescent="0.25">
      <c r="H1447">
        <v>703</v>
      </c>
    </row>
    <row r="1448" spans="1:23" x14ac:dyDescent="0.25">
      <c r="A1448">
        <v>721</v>
      </c>
      <c r="B1448">
        <v>995</v>
      </c>
      <c r="C1448" t="s">
        <v>2229</v>
      </c>
      <c r="D1448" t="s">
        <v>46</v>
      </c>
      <c r="E1448" t="s">
        <v>53</v>
      </c>
      <c r="F1448" t="s">
        <v>2230</v>
      </c>
      <c r="G1448" t="str">
        <f>"00162264"</f>
        <v>00162264</v>
      </c>
      <c r="H1448">
        <v>924</v>
      </c>
      <c r="I1448">
        <v>0</v>
      </c>
      <c r="J1448">
        <v>0</v>
      </c>
      <c r="K1448">
        <v>0</v>
      </c>
      <c r="L1448">
        <v>0</v>
      </c>
      <c r="M1448">
        <v>0</v>
      </c>
      <c r="N1448">
        <v>0</v>
      </c>
      <c r="O1448">
        <v>0</v>
      </c>
      <c r="P1448">
        <v>0</v>
      </c>
      <c r="Q1448">
        <v>0</v>
      </c>
      <c r="R1448">
        <v>84</v>
      </c>
      <c r="S1448">
        <v>588</v>
      </c>
      <c r="T1448">
        <v>0</v>
      </c>
      <c r="V1448">
        <v>2</v>
      </c>
      <c r="W1448">
        <v>1512</v>
      </c>
    </row>
    <row r="1449" spans="1:23" x14ac:dyDescent="0.25">
      <c r="H1449">
        <v>703</v>
      </c>
    </row>
    <row r="1450" spans="1:23" x14ac:dyDescent="0.25">
      <c r="A1450">
        <v>722</v>
      </c>
      <c r="B1450">
        <v>1965</v>
      </c>
      <c r="C1450" t="s">
        <v>1313</v>
      </c>
      <c r="D1450" t="s">
        <v>46</v>
      </c>
      <c r="E1450" t="s">
        <v>33</v>
      </c>
      <c r="F1450" t="s">
        <v>2231</v>
      </c>
      <c r="G1450" t="str">
        <f>"00221792"</f>
        <v>00221792</v>
      </c>
      <c r="H1450">
        <v>891</v>
      </c>
      <c r="I1450">
        <v>0</v>
      </c>
      <c r="J1450">
        <v>30</v>
      </c>
      <c r="K1450">
        <v>0</v>
      </c>
      <c r="L1450">
        <v>0</v>
      </c>
      <c r="M1450">
        <v>0</v>
      </c>
      <c r="N1450">
        <v>0</v>
      </c>
      <c r="O1450">
        <v>0</v>
      </c>
      <c r="P1450">
        <v>0</v>
      </c>
      <c r="Q1450">
        <v>0</v>
      </c>
      <c r="R1450">
        <v>84</v>
      </c>
      <c r="S1450">
        <v>588</v>
      </c>
      <c r="T1450">
        <v>0</v>
      </c>
      <c r="V1450">
        <v>0</v>
      </c>
      <c r="W1450">
        <v>1509</v>
      </c>
    </row>
    <row r="1451" spans="1:23" x14ac:dyDescent="0.25">
      <c r="H1451" t="s">
        <v>26</v>
      </c>
    </row>
    <row r="1452" spans="1:23" x14ac:dyDescent="0.25">
      <c r="A1452">
        <v>723</v>
      </c>
      <c r="B1452">
        <v>977</v>
      </c>
      <c r="C1452" t="s">
        <v>2232</v>
      </c>
      <c r="D1452" t="s">
        <v>40</v>
      </c>
      <c r="E1452" t="s">
        <v>1818</v>
      </c>
      <c r="F1452" t="s">
        <v>2233</v>
      </c>
      <c r="G1452" t="str">
        <f>"201412003639"</f>
        <v>201412003639</v>
      </c>
      <c r="H1452">
        <v>891</v>
      </c>
      <c r="I1452">
        <v>0</v>
      </c>
      <c r="J1452">
        <v>30</v>
      </c>
      <c r="K1452">
        <v>0</v>
      </c>
      <c r="L1452">
        <v>0</v>
      </c>
      <c r="M1452">
        <v>0</v>
      </c>
      <c r="N1452">
        <v>0</v>
      </c>
      <c r="O1452">
        <v>0</v>
      </c>
      <c r="P1452">
        <v>0</v>
      </c>
      <c r="Q1452">
        <v>0</v>
      </c>
      <c r="R1452">
        <v>84</v>
      </c>
      <c r="S1452">
        <v>588</v>
      </c>
      <c r="T1452">
        <v>0</v>
      </c>
      <c r="V1452">
        <v>0</v>
      </c>
      <c r="W1452">
        <v>1509</v>
      </c>
    </row>
    <row r="1453" spans="1:23" x14ac:dyDescent="0.25">
      <c r="H1453">
        <v>703</v>
      </c>
    </row>
    <row r="1454" spans="1:23" x14ac:dyDescent="0.25">
      <c r="A1454">
        <v>724</v>
      </c>
      <c r="B1454">
        <v>1784</v>
      </c>
      <c r="C1454" t="s">
        <v>769</v>
      </c>
      <c r="D1454" t="s">
        <v>273</v>
      </c>
      <c r="E1454" t="s">
        <v>24</v>
      </c>
      <c r="F1454" t="s">
        <v>2234</v>
      </c>
      <c r="G1454" t="str">
        <f>"00043665"</f>
        <v>00043665</v>
      </c>
      <c r="H1454" t="s">
        <v>2235</v>
      </c>
      <c r="I1454">
        <v>0</v>
      </c>
      <c r="J1454">
        <v>70</v>
      </c>
      <c r="K1454">
        <v>30</v>
      </c>
      <c r="L1454">
        <v>0</v>
      </c>
      <c r="M1454">
        <v>70</v>
      </c>
      <c r="N1454">
        <v>0</v>
      </c>
      <c r="O1454">
        <v>0</v>
      </c>
      <c r="P1454">
        <v>0</v>
      </c>
      <c r="Q1454">
        <v>0</v>
      </c>
      <c r="R1454">
        <v>71</v>
      </c>
      <c r="S1454">
        <v>497</v>
      </c>
      <c r="T1454">
        <v>0</v>
      </c>
      <c r="V1454">
        <v>1</v>
      </c>
      <c r="W1454" t="s">
        <v>2236</v>
      </c>
    </row>
    <row r="1455" spans="1:23" x14ac:dyDescent="0.25">
      <c r="H1455" t="s">
        <v>70</v>
      </c>
    </row>
    <row r="1456" spans="1:23" x14ac:dyDescent="0.25">
      <c r="A1456">
        <v>725</v>
      </c>
      <c r="B1456">
        <v>2549</v>
      </c>
      <c r="C1456" t="s">
        <v>2237</v>
      </c>
      <c r="D1456" t="s">
        <v>88</v>
      </c>
      <c r="E1456" t="s">
        <v>91</v>
      </c>
      <c r="F1456" t="s">
        <v>2238</v>
      </c>
      <c r="G1456" t="str">
        <f>"201511030382"</f>
        <v>201511030382</v>
      </c>
      <c r="H1456" t="s">
        <v>833</v>
      </c>
      <c r="I1456">
        <v>0</v>
      </c>
      <c r="J1456">
        <v>30</v>
      </c>
      <c r="K1456">
        <v>0</v>
      </c>
      <c r="L1456">
        <v>0</v>
      </c>
      <c r="M1456">
        <v>0</v>
      </c>
      <c r="N1456">
        <v>0</v>
      </c>
      <c r="O1456">
        <v>0</v>
      </c>
      <c r="P1456">
        <v>0</v>
      </c>
      <c r="Q1456">
        <v>0</v>
      </c>
      <c r="R1456">
        <v>77</v>
      </c>
      <c r="S1456">
        <v>539</v>
      </c>
      <c r="T1456">
        <v>0</v>
      </c>
      <c r="V1456">
        <v>0</v>
      </c>
      <c r="W1456" t="s">
        <v>2239</v>
      </c>
    </row>
    <row r="1457" spans="1:23" x14ac:dyDescent="0.25">
      <c r="H1457">
        <v>703</v>
      </c>
    </row>
    <row r="1458" spans="1:23" x14ac:dyDescent="0.25">
      <c r="A1458">
        <v>726</v>
      </c>
      <c r="B1458">
        <v>1638</v>
      </c>
      <c r="C1458" t="s">
        <v>2240</v>
      </c>
      <c r="D1458" t="s">
        <v>32</v>
      </c>
      <c r="E1458" t="s">
        <v>109</v>
      </c>
      <c r="F1458" t="s">
        <v>2241</v>
      </c>
      <c r="G1458" t="str">
        <f>"201406012492"</f>
        <v>201406012492</v>
      </c>
      <c r="H1458">
        <v>770</v>
      </c>
      <c r="I1458">
        <v>150</v>
      </c>
      <c r="J1458">
        <v>0</v>
      </c>
      <c r="K1458">
        <v>0</v>
      </c>
      <c r="L1458">
        <v>0</v>
      </c>
      <c r="M1458">
        <v>0</v>
      </c>
      <c r="N1458">
        <v>0</v>
      </c>
      <c r="O1458">
        <v>0</v>
      </c>
      <c r="P1458">
        <v>0</v>
      </c>
      <c r="Q1458">
        <v>0</v>
      </c>
      <c r="R1458">
        <v>84</v>
      </c>
      <c r="S1458">
        <v>588</v>
      </c>
      <c r="T1458">
        <v>0</v>
      </c>
      <c r="V1458">
        <v>1</v>
      </c>
      <c r="W1458">
        <v>1508</v>
      </c>
    </row>
    <row r="1459" spans="1:23" x14ac:dyDescent="0.25">
      <c r="H1459">
        <v>703</v>
      </c>
    </row>
    <row r="1460" spans="1:23" x14ac:dyDescent="0.25">
      <c r="A1460">
        <v>727</v>
      </c>
      <c r="B1460">
        <v>2619</v>
      </c>
      <c r="C1460" t="s">
        <v>2242</v>
      </c>
      <c r="D1460" t="s">
        <v>273</v>
      </c>
      <c r="E1460" t="s">
        <v>2243</v>
      </c>
      <c r="F1460" t="s">
        <v>2244</v>
      </c>
      <c r="G1460" t="str">
        <f>"201507001681"</f>
        <v>201507001681</v>
      </c>
      <c r="H1460" t="s">
        <v>2067</v>
      </c>
      <c r="I1460">
        <v>0</v>
      </c>
      <c r="J1460">
        <v>0</v>
      </c>
      <c r="K1460">
        <v>0</v>
      </c>
      <c r="L1460">
        <v>0</v>
      </c>
      <c r="M1460">
        <v>0</v>
      </c>
      <c r="N1460">
        <v>0</v>
      </c>
      <c r="O1460">
        <v>0</v>
      </c>
      <c r="P1460">
        <v>0</v>
      </c>
      <c r="Q1460">
        <v>0</v>
      </c>
      <c r="R1460">
        <v>84</v>
      </c>
      <c r="S1460">
        <v>588</v>
      </c>
      <c r="T1460">
        <v>0</v>
      </c>
      <c r="V1460">
        <v>0</v>
      </c>
      <c r="W1460" t="s">
        <v>2245</v>
      </c>
    </row>
    <row r="1461" spans="1:23" x14ac:dyDescent="0.25">
      <c r="H1461">
        <v>703</v>
      </c>
    </row>
    <row r="1462" spans="1:23" x14ac:dyDescent="0.25">
      <c r="A1462">
        <v>728</v>
      </c>
      <c r="B1462">
        <v>2731</v>
      </c>
      <c r="C1462" t="s">
        <v>2246</v>
      </c>
      <c r="D1462" t="s">
        <v>46</v>
      </c>
      <c r="E1462" t="s">
        <v>76</v>
      </c>
      <c r="F1462" t="s">
        <v>2247</v>
      </c>
      <c r="G1462" t="str">
        <f>"00142016"</f>
        <v>00142016</v>
      </c>
      <c r="H1462">
        <v>869</v>
      </c>
      <c r="I1462">
        <v>0</v>
      </c>
      <c r="J1462">
        <v>50</v>
      </c>
      <c r="K1462">
        <v>0</v>
      </c>
      <c r="L1462">
        <v>0</v>
      </c>
      <c r="M1462">
        <v>0</v>
      </c>
      <c r="N1462">
        <v>0</v>
      </c>
      <c r="O1462">
        <v>0</v>
      </c>
      <c r="P1462">
        <v>0</v>
      </c>
      <c r="Q1462">
        <v>0</v>
      </c>
      <c r="R1462">
        <v>84</v>
      </c>
      <c r="S1462">
        <v>588</v>
      </c>
      <c r="T1462">
        <v>0</v>
      </c>
      <c r="V1462">
        <v>0</v>
      </c>
      <c r="W1462">
        <v>1507</v>
      </c>
    </row>
    <row r="1463" spans="1:23" x14ac:dyDescent="0.25">
      <c r="H1463">
        <v>703</v>
      </c>
    </row>
    <row r="1464" spans="1:23" x14ac:dyDescent="0.25">
      <c r="A1464">
        <v>729</v>
      </c>
      <c r="B1464">
        <v>2114</v>
      </c>
      <c r="C1464" t="s">
        <v>2248</v>
      </c>
      <c r="D1464" t="s">
        <v>67</v>
      </c>
      <c r="E1464" t="s">
        <v>47</v>
      </c>
      <c r="F1464" t="s">
        <v>2249</v>
      </c>
      <c r="G1464" t="str">
        <f>"201304000473"</f>
        <v>201304000473</v>
      </c>
      <c r="H1464">
        <v>880</v>
      </c>
      <c r="I1464">
        <v>0</v>
      </c>
      <c r="J1464">
        <v>70</v>
      </c>
      <c r="K1464">
        <v>50</v>
      </c>
      <c r="L1464">
        <v>0</v>
      </c>
      <c r="M1464">
        <v>0</v>
      </c>
      <c r="N1464">
        <v>30</v>
      </c>
      <c r="O1464">
        <v>0</v>
      </c>
      <c r="P1464">
        <v>0</v>
      </c>
      <c r="Q1464">
        <v>0</v>
      </c>
      <c r="R1464">
        <v>68</v>
      </c>
      <c r="S1464">
        <v>476</v>
      </c>
      <c r="T1464">
        <v>0</v>
      </c>
      <c r="V1464">
        <v>0</v>
      </c>
      <c r="W1464">
        <v>1506</v>
      </c>
    </row>
    <row r="1465" spans="1:23" x14ac:dyDescent="0.25">
      <c r="H1465" t="s">
        <v>26</v>
      </c>
    </row>
    <row r="1466" spans="1:23" x14ac:dyDescent="0.25">
      <c r="A1466">
        <v>730</v>
      </c>
      <c r="B1466">
        <v>2728</v>
      </c>
      <c r="C1466" t="s">
        <v>2250</v>
      </c>
      <c r="D1466" t="s">
        <v>91</v>
      </c>
      <c r="E1466" t="s">
        <v>607</v>
      </c>
      <c r="F1466" t="s">
        <v>2251</v>
      </c>
      <c r="G1466" t="str">
        <f>"201402010728"</f>
        <v>201402010728</v>
      </c>
      <c r="H1466" t="s">
        <v>17</v>
      </c>
      <c r="I1466">
        <v>150</v>
      </c>
      <c r="J1466">
        <v>30</v>
      </c>
      <c r="K1466">
        <v>0</v>
      </c>
      <c r="L1466">
        <v>0</v>
      </c>
      <c r="M1466">
        <v>0</v>
      </c>
      <c r="N1466">
        <v>0</v>
      </c>
      <c r="O1466">
        <v>0</v>
      </c>
      <c r="P1466">
        <v>0</v>
      </c>
      <c r="Q1466">
        <v>0</v>
      </c>
      <c r="R1466">
        <v>33</v>
      </c>
      <c r="S1466">
        <v>231</v>
      </c>
      <c r="T1466">
        <v>0</v>
      </c>
      <c r="V1466">
        <v>0</v>
      </c>
      <c r="W1466" t="s">
        <v>2252</v>
      </c>
    </row>
    <row r="1467" spans="1:23" x14ac:dyDescent="0.25">
      <c r="H1467">
        <v>703</v>
      </c>
    </row>
    <row r="1468" spans="1:23" x14ac:dyDescent="0.25">
      <c r="A1468">
        <v>731</v>
      </c>
      <c r="B1468">
        <v>1223</v>
      </c>
      <c r="C1468" t="s">
        <v>2253</v>
      </c>
      <c r="D1468" t="s">
        <v>392</v>
      </c>
      <c r="E1468" t="s">
        <v>15</v>
      </c>
      <c r="F1468" t="s">
        <v>2254</v>
      </c>
      <c r="G1468" t="str">
        <f>"201406010554"</f>
        <v>201406010554</v>
      </c>
      <c r="H1468" t="s">
        <v>1532</v>
      </c>
      <c r="I1468">
        <v>0</v>
      </c>
      <c r="J1468">
        <v>70</v>
      </c>
      <c r="K1468">
        <v>0</v>
      </c>
      <c r="L1468">
        <v>0</v>
      </c>
      <c r="M1468">
        <v>0</v>
      </c>
      <c r="N1468">
        <v>30</v>
      </c>
      <c r="O1468">
        <v>0</v>
      </c>
      <c r="P1468">
        <v>0</v>
      </c>
      <c r="Q1468">
        <v>0</v>
      </c>
      <c r="R1468">
        <v>68</v>
      </c>
      <c r="S1468">
        <v>476</v>
      </c>
      <c r="T1468">
        <v>0</v>
      </c>
      <c r="V1468">
        <v>0</v>
      </c>
      <c r="W1468" t="s">
        <v>2252</v>
      </c>
    </row>
    <row r="1469" spans="1:23" x14ac:dyDescent="0.25">
      <c r="H1469" t="s">
        <v>26</v>
      </c>
    </row>
    <row r="1470" spans="1:23" x14ac:dyDescent="0.25">
      <c r="A1470">
        <v>732</v>
      </c>
      <c r="B1470">
        <v>2966</v>
      </c>
      <c r="C1470" t="s">
        <v>2255</v>
      </c>
      <c r="D1470" t="s">
        <v>392</v>
      </c>
      <c r="E1470" t="s">
        <v>41</v>
      </c>
      <c r="F1470" t="s">
        <v>2256</v>
      </c>
      <c r="G1470" t="str">
        <f>"00207643"</f>
        <v>00207643</v>
      </c>
      <c r="H1470" t="s">
        <v>2257</v>
      </c>
      <c r="I1470">
        <v>150</v>
      </c>
      <c r="J1470">
        <v>0</v>
      </c>
      <c r="K1470">
        <v>0</v>
      </c>
      <c r="L1470">
        <v>0</v>
      </c>
      <c r="M1470">
        <v>0</v>
      </c>
      <c r="N1470">
        <v>0</v>
      </c>
      <c r="O1470">
        <v>0</v>
      </c>
      <c r="P1470">
        <v>0</v>
      </c>
      <c r="Q1470">
        <v>0</v>
      </c>
      <c r="R1470">
        <v>83</v>
      </c>
      <c r="S1470">
        <v>581</v>
      </c>
      <c r="T1470">
        <v>0</v>
      </c>
      <c r="V1470">
        <v>0</v>
      </c>
      <c r="W1470" t="s">
        <v>2258</v>
      </c>
    </row>
    <row r="1471" spans="1:23" x14ac:dyDescent="0.25">
      <c r="H1471">
        <v>703</v>
      </c>
    </row>
    <row r="1472" spans="1:23" x14ac:dyDescent="0.25">
      <c r="A1472">
        <v>733</v>
      </c>
      <c r="B1472">
        <v>2151</v>
      </c>
      <c r="C1472" t="s">
        <v>2259</v>
      </c>
      <c r="D1472" t="s">
        <v>293</v>
      </c>
      <c r="E1472" t="s">
        <v>53</v>
      </c>
      <c r="F1472" t="s">
        <v>2260</v>
      </c>
      <c r="G1472" t="str">
        <f>"200802002224"</f>
        <v>200802002224</v>
      </c>
      <c r="H1472" t="s">
        <v>142</v>
      </c>
      <c r="I1472">
        <v>0</v>
      </c>
      <c r="J1472">
        <v>30</v>
      </c>
      <c r="K1472">
        <v>0</v>
      </c>
      <c r="L1472">
        <v>0</v>
      </c>
      <c r="M1472">
        <v>0</v>
      </c>
      <c r="N1472">
        <v>0</v>
      </c>
      <c r="O1472">
        <v>0</v>
      </c>
      <c r="P1472">
        <v>0</v>
      </c>
      <c r="Q1472">
        <v>0</v>
      </c>
      <c r="R1472">
        <v>59</v>
      </c>
      <c r="S1472">
        <v>413</v>
      </c>
      <c r="T1472">
        <v>0</v>
      </c>
      <c r="V1472">
        <v>0</v>
      </c>
      <c r="W1472" t="s">
        <v>2261</v>
      </c>
    </row>
    <row r="1473" spans="1:23" x14ac:dyDescent="0.25">
      <c r="H1473">
        <v>703</v>
      </c>
    </row>
    <row r="1474" spans="1:23" x14ac:dyDescent="0.25">
      <c r="A1474">
        <v>734</v>
      </c>
      <c r="B1474">
        <v>1924</v>
      </c>
      <c r="C1474" t="s">
        <v>2262</v>
      </c>
      <c r="D1474" t="s">
        <v>432</v>
      </c>
      <c r="E1474" t="s">
        <v>41</v>
      </c>
      <c r="F1474" t="s">
        <v>2263</v>
      </c>
      <c r="G1474" t="str">
        <f>"00146599"</f>
        <v>00146599</v>
      </c>
      <c r="H1474" t="s">
        <v>1238</v>
      </c>
      <c r="I1474">
        <v>0</v>
      </c>
      <c r="J1474">
        <v>30</v>
      </c>
      <c r="K1474">
        <v>0</v>
      </c>
      <c r="L1474">
        <v>0</v>
      </c>
      <c r="M1474">
        <v>0</v>
      </c>
      <c r="N1474">
        <v>0</v>
      </c>
      <c r="O1474">
        <v>0</v>
      </c>
      <c r="P1474">
        <v>0</v>
      </c>
      <c r="Q1474">
        <v>0</v>
      </c>
      <c r="R1474">
        <v>84</v>
      </c>
      <c r="S1474">
        <v>588</v>
      </c>
      <c r="T1474">
        <v>0</v>
      </c>
      <c r="V1474">
        <v>0</v>
      </c>
      <c r="W1474" t="s">
        <v>2264</v>
      </c>
    </row>
    <row r="1475" spans="1:23" x14ac:dyDescent="0.25">
      <c r="H1475">
        <v>703</v>
      </c>
    </row>
    <row r="1476" spans="1:23" x14ac:dyDescent="0.25">
      <c r="A1476">
        <v>735</v>
      </c>
      <c r="B1476">
        <v>337</v>
      </c>
      <c r="C1476" t="s">
        <v>2265</v>
      </c>
      <c r="D1476" t="s">
        <v>20</v>
      </c>
      <c r="E1476" t="s">
        <v>2266</v>
      </c>
      <c r="F1476" t="s">
        <v>2267</v>
      </c>
      <c r="G1476" t="str">
        <f>"00226271"</f>
        <v>00226271</v>
      </c>
      <c r="H1476" t="s">
        <v>1241</v>
      </c>
      <c r="I1476">
        <v>0</v>
      </c>
      <c r="J1476">
        <v>30</v>
      </c>
      <c r="K1476">
        <v>0</v>
      </c>
      <c r="L1476">
        <v>0</v>
      </c>
      <c r="M1476">
        <v>0</v>
      </c>
      <c r="N1476">
        <v>0</v>
      </c>
      <c r="O1476">
        <v>0</v>
      </c>
      <c r="P1476">
        <v>0</v>
      </c>
      <c r="Q1476">
        <v>0</v>
      </c>
      <c r="R1476">
        <v>84</v>
      </c>
      <c r="S1476">
        <v>588</v>
      </c>
      <c r="T1476">
        <v>0</v>
      </c>
      <c r="V1476">
        <v>0</v>
      </c>
      <c r="W1476" t="s">
        <v>2268</v>
      </c>
    </row>
    <row r="1477" spans="1:23" x14ac:dyDescent="0.25">
      <c r="H1477" t="s">
        <v>26</v>
      </c>
    </row>
    <row r="1478" spans="1:23" x14ac:dyDescent="0.25">
      <c r="A1478">
        <v>736</v>
      </c>
      <c r="B1478">
        <v>31</v>
      </c>
      <c r="C1478" t="s">
        <v>2269</v>
      </c>
      <c r="D1478" t="s">
        <v>227</v>
      </c>
      <c r="E1478" t="s">
        <v>58</v>
      </c>
      <c r="F1478" t="s">
        <v>2270</v>
      </c>
      <c r="G1478" t="str">
        <f>"200802008039"</f>
        <v>200802008039</v>
      </c>
      <c r="H1478" t="s">
        <v>800</v>
      </c>
      <c r="I1478">
        <v>150</v>
      </c>
      <c r="J1478">
        <v>50</v>
      </c>
      <c r="K1478">
        <v>0</v>
      </c>
      <c r="L1478">
        <v>30</v>
      </c>
      <c r="M1478">
        <v>0</v>
      </c>
      <c r="N1478">
        <v>0</v>
      </c>
      <c r="O1478">
        <v>0</v>
      </c>
      <c r="P1478">
        <v>0</v>
      </c>
      <c r="Q1478">
        <v>0</v>
      </c>
      <c r="R1478">
        <v>54</v>
      </c>
      <c r="S1478">
        <v>378</v>
      </c>
      <c r="T1478">
        <v>0</v>
      </c>
      <c r="V1478">
        <v>0</v>
      </c>
      <c r="W1478" t="s">
        <v>2271</v>
      </c>
    </row>
    <row r="1479" spans="1:23" x14ac:dyDescent="0.25">
      <c r="H1479" t="s">
        <v>70</v>
      </c>
    </row>
    <row r="1480" spans="1:23" x14ac:dyDescent="0.25">
      <c r="A1480">
        <v>737</v>
      </c>
      <c r="B1480">
        <v>259</v>
      </c>
      <c r="C1480" t="s">
        <v>2272</v>
      </c>
      <c r="D1480" t="s">
        <v>273</v>
      </c>
      <c r="E1480" t="s">
        <v>33</v>
      </c>
      <c r="F1480" t="s">
        <v>2273</v>
      </c>
      <c r="G1480" t="str">
        <f>"201303000136"</f>
        <v>201303000136</v>
      </c>
      <c r="H1480" t="s">
        <v>2274</v>
      </c>
      <c r="I1480">
        <v>0</v>
      </c>
      <c r="J1480">
        <v>0</v>
      </c>
      <c r="K1480">
        <v>0</v>
      </c>
      <c r="L1480">
        <v>0</v>
      </c>
      <c r="M1480">
        <v>0</v>
      </c>
      <c r="N1480">
        <v>0</v>
      </c>
      <c r="O1480">
        <v>0</v>
      </c>
      <c r="P1480">
        <v>0</v>
      </c>
      <c r="Q1480">
        <v>0</v>
      </c>
      <c r="R1480">
        <v>84</v>
      </c>
      <c r="S1480">
        <v>588</v>
      </c>
      <c r="T1480">
        <v>0</v>
      </c>
      <c r="V1480">
        <v>0</v>
      </c>
      <c r="W1480" t="s">
        <v>2275</v>
      </c>
    </row>
    <row r="1481" spans="1:23" x14ac:dyDescent="0.25">
      <c r="H1481">
        <v>703</v>
      </c>
    </row>
    <row r="1482" spans="1:23" x14ac:dyDescent="0.25">
      <c r="A1482">
        <v>738</v>
      </c>
      <c r="B1482">
        <v>120</v>
      </c>
      <c r="C1482" t="s">
        <v>2276</v>
      </c>
      <c r="D1482" t="s">
        <v>219</v>
      </c>
      <c r="E1482" t="s">
        <v>76</v>
      </c>
      <c r="F1482" t="s">
        <v>2277</v>
      </c>
      <c r="G1482" t="str">
        <f>"201401000371"</f>
        <v>201401000371</v>
      </c>
      <c r="H1482" t="s">
        <v>2274</v>
      </c>
      <c r="I1482">
        <v>0</v>
      </c>
      <c r="J1482">
        <v>0</v>
      </c>
      <c r="K1482">
        <v>0</v>
      </c>
      <c r="L1482">
        <v>0</v>
      </c>
      <c r="M1482">
        <v>0</v>
      </c>
      <c r="N1482">
        <v>0</v>
      </c>
      <c r="O1482">
        <v>0</v>
      </c>
      <c r="P1482">
        <v>0</v>
      </c>
      <c r="Q1482">
        <v>0</v>
      </c>
      <c r="R1482">
        <v>84</v>
      </c>
      <c r="S1482">
        <v>588</v>
      </c>
      <c r="T1482">
        <v>0</v>
      </c>
      <c r="V1482">
        <v>0</v>
      </c>
      <c r="W1482" t="s">
        <v>2275</v>
      </c>
    </row>
    <row r="1483" spans="1:23" x14ac:dyDescent="0.25">
      <c r="H1483">
        <v>703</v>
      </c>
    </row>
    <row r="1484" spans="1:23" x14ac:dyDescent="0.25">
      <c r="A1484">
        <v>739</v>
      </c>
      <c r="B1484">
        <v>2292</v>
      </c>
      <c r="C1484" t="s">
        <v>2278</v>
      </c>
      <c r="D1484" t="s">
        <v>432</v>
      </c>
      <c r="E1484" t="s">
        <v>79</v>
      </c>
      <c r="F1484" t="s">
        <v>2279</v>
      </c>
      <c r="G1484" t="str">
        <f>"00157096"</f>
        <v>00157096</v>
      </c>
      <c r="H1484">
        <v>1100</v>
      </c>
      <c r="I1484">
        <v>150</v>
      </c>
      <c r="J1484">
        <v>0</v>
      </c>
      <c r="K1484">
        <v>0</v>
      </c>
      <c r="L1484">
        <v>0</v>
      </c>
      <c r="M1484">
        <v>0</v>
      </c>
      <c r="N1484">
        <v>0</v>
      </c>
      <c r="O1484">
        <v>0</v>
      </c>
      <c r="P1484">
        <v>0</v>
      </c>
      <c r="Q1484">
        <v>0</v>
      </c>
      <c r="R1484">
        <v>36</v>
      </c>
      <c r="S1484">
        <v>252</v>
      </c>
      <c r="T1484">
        <v>0</v>
      </c>
      <c r="V1484">
        <v>1</v>
      </c>
      <c r="W1484">
        <v>1502</v>
      </c>
    </row>
    <row r="1485" spans="1:23" x14ac:dyDescent="0.25">
      <c r="H1485">
        <v>703</v>
      </c>
    </row>
    <row r="1486" spans="1:23" x14ac:dyDescent="0.25">
      <c r="A1486">
        <v>740</v>
      </c>
      <c r="B1486">
        <v>1876</v>
      </c>
      <c r="C1486" t="s">
        <v>2280</v>
      </c>
      <c r="D1486" t="s">
        <v>91</v>
      </c>
      <c r="E1486" t="s">
        <v>607</v>
      </c>
      <c r="F1486" t="s">
        <v>2281</v>
      </c>
      <c r="G1486" t="str">
        <f>"201411001925"</f>
        <v>201411001925</v>
      </c>
      <c r="H1486" t="s">
        <v>2282</v>
      </c>
      <c r="I1486">
        <v>0</v>
      </c>
      <c r="J1486">
        <v>30</v>
      </c>
      <c r="K1486">
        <v>0</v>
      </c>
      <c r="L1486">
        <v>0</v>
      </c>
      <c r="M1486">
        <v>0</v>
      </c>
      <c r="N1486">
        <v>30</v>
      </c>
      <c r="O1486">
        <v>0</v>
      </c>
      <c r="P1486">
        <v>0</v>
      </c>
      <c r="Q1486">
        <v>0</v>
      </c>
      <c r="R1486">
        <v>73</v>
      </c>
      <c r="S1486">
        <v>511</v>
      </c>
      <c r="T1486">
        <v>0</v>
      </c>
      <c r="V1486">
        <v>0</v>
      </c>
      <c r="W1486" t="s">
        <v>2283</v>
      </c>
    </row>
    <row r="1487" spans="1:23" x14ac:dyDescent="0.25">
      <c r="H1487" t="s">
        <v>70</v>
      </c>
    </row>
    <row r="1488" spans="1:23" x14ac:dyDescent="0.25">
      <c r="A1488">
        <v>741</v>
      </c>
      <c r="B1488">
        <v>2315</v>
      </c>
      <c r="C1488" t="s">
        <v>2284</v>
      </c>
      <c r="D1488" t="s">
        <v>293</v>
      </c>
      <c r="E1488" t="s">
        <v>53</v>
      </c>
      <c r="F1488" t="s">
        <v>2285</v>
      </c>
      <c r="G1488" t="str">
        <f>"201511021051"</f>
        <v>201511021051</v>
      </c>
      <c r="H1488" t="s">
        <v>465</v>
      </c>
      <c r="I1488">
        <v>0</v>
      </c>
      <c r="J1488">
        <v>0</v>
      </c>
      <c r="K1488">
        <v>0</v>
      </c>
      <c r="L1488">
        <v>0</v>
      </c>
      <c r="M1488">
        <v>0</v>
      </c>
      <c r="N1488">
        <v>0</v>
      </c>
      <c r="O1488">
        <v>0</v>
      </c>
      <c r="P1488">
        <v>0</v>
      </c>
      <c r="Q1488">
        <v>0</v>
      </c>
      <c r="R1488">
        <v>77</v>
      </c>
      <c r="S1488">
        <v>539</v>
      </c>
      <c r="T1488">
        <v>0</v>
      </c>
      <c r="V1488">
        <v>0</v>
      </c>
      <c r="W1488" t="s">
        <v>2286</v>
      </c>
    </row>
    <row r="1489" spans="1:23" x14ac:dyDescent="0.25">
      <c r="H1489">
        <v>703</v>
      </c>
    </row>
    <row r="1490" spans="1:23" x14ac:dyDescent="0.25">
      <c r="A1490">
        <v>742</v>
      </c>
      <c r="B1490">
        <v>3154</v>
      </c>
      <c r="C1490" t="s">
        <v>2287</v>
      </c>
      <c r="D1490" t="s">
        <v>722</v>
      </c>
      <c r="E1490" t="s">
        <v>15</v>
      </c>
      <c r="F1490" t="s">
        <v>2288</v>
      </c>
      <c r="G1490" t="str">
        <f>"201502003427"</f>
        <v>201502003427</v>
      </c>
      <c r="H1490" t="s">
        <v>363</v>
      </c>
      <c r="I1490">
        <v>150</v>
      </c>
      <c r="J1490">
        <v>70</v>
      </c>
      <c r="K1490">
        <v>0</v>
      </c>
      <c r="L1490">
        <v>0</v>
      </c>
      <c r="M1490">
        <v>0</v>
      </c>
      <c r="N1490">
        <v>0</v>
      </c>
      <c r="O1490">
        <v>0</v>
      </c>
      <c r="P1490">
        <v>0</v>
      </c>
      <c r="Q1490">
        <v>0</v>
      </c>
      <c r="R1490">
        <v>41</v>
      </c>
      <c r="S1490">
        <v>287</v>
      </c>
      <c r="T1490">
        <v>0</v>
      </c>
      <c r="V1490">
        <v>0</v>
      </c>
      <c r="W1490" t="s">
        <v>2289</v>
      </c>
    </row>
    <row r="1491" spans="1:23" x14ac:dyDescent="0.25">
      <c r="H1491">
        <v>703</v>
      </c>
    </row>
    <row r="1492" spans="1:23" x14ac:dyDescent="0.25">
      <c r="A1492">
        <v>743</v>
      </c>
      <c r="B1492">
        <v>1244</v>
      </c>
      <c r="C1492" t="s">
        <v>2290</v>
      </c>
      <c r="D1492" t="s">
        <v>62</v>
      </c>
      <c r="E1492" t="s">
        <v>91</v>
      </c>
      <c r="F1492" t="s">
        <v>2291</v>
      </c>
      <c r="G1492" t="str">
        <f>"201208000075"</f>
        <v>201208000075</v>
      </c>
      <c r="H1492">
        <v>1023</v>
      </c>
      <c r="I1492">
        <v>0</v>
      </c>
      <c r="J1492">
        <v>30</v>
      </c>
      <c r="K1492">
        <v>0</v>
      </c>
      <c r="L1492">
        <v>0</v>
      </c>
      <c r="M1492">
        <v>0</v>
      </c>
      <c r="N1492">
        <v>0</v>
      </c>
      <c r="O1492">
        <v>0</v>
      </c>
      <c r="P1492">
        <v>0</v>
      </c>
      <c r="Q1492">
        <v>0</v>
      </c>
      <c r="R1492">
        <v>64</v>
      </c>
      <c r="S1492">
        <v>448</v>
      </c>
      <c r="T1492">
        <v>0</v>
      </c>
      <c r="V1492">
        <v>0</v>
      </c>
      <c r="W1492">
        <v>1501</v>
      </c>
    </row>
    <row r="1493" spans="1:23" x14ac:dyDescent="0.25">
      <c r="H1493">
        <v>703</v>
      </c>
    </row>
    <row r="1494" spans="1:23" x14ac:dyDescent="0.25">
      <c r="A1494">
        <v>744</v>
      </c>
      <c r="B1494">
        <v>314</v>
      </c>
      <c r="C1494" t="s">
        <v>2292</v>
      </c>
      <c r="D1494" t="s">
        <v>382</v>
      </c>
      <c r="E1494" t="s">
        <v>91</v>
      </c>
      <c r="F1494" t="s">
        <v>2293</v>
      </c>
      <c r="G1494" t="str">
        <f>"200802012214"</f>
        <v>200802012214</v>
      </c>
      <c r="H1494">
        <v>913</v>
      </c>
      <c r="I1494">
        <v>0</v>
      </c>
      <c r="J1494">
        <v>0</v>
      </c>
      <c r="K1494">
        <v>0</v>
      </c>
      <c r="L1494">
        <v>0</v>
      </c>
      <c r="M1494">
        <v>0</v>
      </c>
      <c r="N1494">
        <v>0</v>
      </c>
      <c r="O1494">
        <v>0</v>
      </c>
      <c r="P1494">
        <v>0</v>
      </c>
      <c r="Q1494">
        <v>0</v>
      </c>
      <c r="R1494">
        <v>84</v>
      </c>
      <c r="S1494">
        <v>588</v>
      </c>
      <c r="T1494">
        <v>0</v>
      </c>
      <c r="V1494">
        <v>0</v>
      </c>
      <c r="W1494">
        <v>1501</v>
      </c>
    </row>
    <row r="1495" spans="1:23" x14ac:dyDescent="0.25">
      <c r="H1495">
        <v>703</v>
      </c>
    </row>
    <row r="1496" spans="1:23" x14ac:dyDescent="0.25">
      <c r="A1496">
        <v>745</v>
      </c>
      <c r="B1496">
        <v>556</v>
      </c>
      <c r="C1496" t="s">
        <v>2294</v>
      </c>
      <c r="D1496" t="s">
        <v>912</v>
      </c>
      <c r="E1496" t="s">
        <v>53</v>
      </c>
      <c r="F1496" t="s">
        <v>2295</v>
      </c>
      <c r="G1496" t="str">
        <f>"201406005548"</f>
        <v>201406005548</v>
      </c>
      <c r="H1496" t="s">
        <v>376</v>
      </c>
      <c r="I1496">
        <v>150</v>
      </c>
      <c r="J1496">
        <v>0</v>
      </c>
      <c r="K1496">
        <v>0</v>
      </c>
      <c r="L1496">
        <v>0</v>
      </c>
      <c r="M1496">
        <v>0</v>
      </c>
      <c r="N1496">
        <v>0</v>
      </c>
      <c r="O1496">
        <v>0</v>
      </c>
      <c r="P1496">
        <v>0</v>
      </c>
      <c r="Q1496">
        <v>0</v>
      </c>
      <c r="R1496">
        <v>43</v>
      </c>
      <c r="S1496">
        <v>301</v>
      </c>
      <c r="T1496">
        <v>0</v>
      </c>
      <c r="V1496">
        <v>0</v>
      </c>
      <c r="W1496" t="s">
        <v>2296</v>
      </c>
    </row>
    <row r="1497" spans="1:23" x14ac:dyDescent="0.25">
      <c r="H1497">
        <v>703</v>
      </c>
    </row>
    <row r="1498" spans="1:23" x14ac:dyDescent="0.25">
      <c r="A1498">
        <v>746</v>
      </c>
      <c r="B1498">
        <v>73</v>
      </c>
      <c r="C1498" t="s">
        <v>2297</v>
      </c>
      <c r="D1498" t="s">
        <v>14</v>
      </c>
      <c r="E1498" t="s">
        <v>322</v>
      </c>
      <c r="F1498" t="s">
        <v>2298</v>
      </c>
      <c r="G1498" t="str">
        <f>"201511009023"</f>
        <v>201511009023</v>
      </c>
      <c r="H1498">
        <v>682</v>
      </c>
      <c r="I1498">
        <v>150</v>
      </c>
      <c r="J1498">
        <v>30</v>
      </c>
      <c r="K1498">
        <v>0</v>
      </c>
      <c r="L1498">
        <v>50</v>
      </c>
      <c r="M1498">
        <v>0</v>
      </c>
      <c r="N1498">
        <v>0</v>
      </c>
      <c r="O1498">
        <v>0</v>
      </c>
      <c r="P1498">
        <v>0</v>
      </c>
      <c r="Q1498">
        <v>0</v>
      </c>
      <c r="R1498">
        <v>84</v>
      </c>
      <c r="S1498">
        <v>588</v>
      </c>
      <c r="T1498">
        <v>0</v>
      </c>
      <c r="V1498">
        <v>0</v>
      </c>
      <c r="W1498">
        <v>1500</v>
      </c>
    </row>
    <row r="1499" spans="1:23" x14ac:dyDescent="0.25">
      <c r="H1499" t="s">
        <v>70</v>
      </c>
    </row>
    <row r="1500" spans="1:23" x14ac:dyDescent="0.25">
      <c r="A1500">
        <v>747</v>
      </c>
      <c r="B1500">
        <v>409</v>
      </c>
      <c r="C1500" t="s">
        <v>1607</v>
      </c>
      <c r="D1500" t="s">
        <v>273</v>
      </c>
      <c r="E1500" t="s">
        <v>109</v>
      </c>
      <c r="F1500" t="s">
        <v>2299</v>
      </c>
      <c r="G1500" t="str">
        <f>"201410009525"</f>
        <v>201410009525</v>
      </c>
      <c r="H1500" t="s">
        <v>622</v>
      </c>
      <c r="I1500">
        <v>0</v>
      </c>
      <c r="J1500">
        <v>0</v>
      </c>
      <c r="K1500">
        <v>0</v>
      </c>
      <c r="L1500">
        <v>0</v>
      </c>
      <c r="M1500">
        <v>0</v>
      </c>
      <c r="N1500">
        <v>0</v>
      </c>
      <c r="O1500">
        <v>0</v>
      </c>
      <c r="P1500">
        <v>0</v>
      </c>
      <c r="Q1500">
        <v>0</v>
      </c>
      <c r="R1500">
        <v>75</v>
      </c>
      <c r="S1500">
        <v>525</v>
      </c>
      <c r="T1500">
        <v>0</v>
      </c>
      <c r="V1500">
        <v>0</v>
      </c>
      <c r="W1500" t="s">
        <v>2300</v>
      </c>
    </row>
    <row r="1501" spans="1:23" x14ac:dyDescent="0.25">
      <c r="H1501">
        <v>703</v>
      </c>
    </row>
    <row r="1502" spans="1:23" x14ac:dyDescent="0.25">
      <c r="A1502">
        <v>748</v>
      </c>
      <c r="B1502">
        <v>2457</v>
      </c>
      <c r="C1502" t="s">
        <v>2301</v>
      </c>
      <c r="D1502" t="s">
        <v>912</v>
      </c>
      <c r="E1502" t="s">
        <v>105</v>
      </c>
      <c r="F1502" t="s">
        <v>2302</v>
      </c>
      <c r="G1502" t="str">
        <f>"201511030816"</f>
        <v>201511030816</v>
      </c>
      <c r="H1502">
        <v>880</v>
      </c>
      <c r="I1502">
        <v>150</v>
      </c>
      <c r="J1502">
        <v>70</v>
      </c>
      <c r="K1502">
        <v>0</v>
      </c>
      <c r="L1502">
        <v>0</v>
      </c>
      <c r="M1502">
        <v>0</v>
      </c>
      <c r="N1502">
        <v>0</v>
      </c>
      <c r="O1502">
        <v>0</v>
      </c>
      <c r="P1502">
        <v>0</v>
      </c>
      <c r="Q1502">
        <v>0</v>
      </c>
      <c r="R1502">
        <v>57</v>
      </c>
      <c r="S1502">
        <v>399</v>
      </c>
      <c r="T1502">
        <v>0</v>
      </c>
      <c r="V1502">
        <v>0</v>
      </c>
      <c r="W1502">
        <v>1499</v>
      </c>
    </row>
    <row r="1503" spans="1:23" x14ac:dyDescent="0.25">
      <c r="H1503">
        <v>703</v>
      </c>
    </row>
    <row r="1504" spans="1:23" x14ac:dyDescent="0.25">
      <c r="A1504">
        <v>749</v>
      </c>
      <c r="B1504">
        <v>480</v>
      </c>
      <c r="C1504" t="s">
        <v>474</v>
      </c>
      <c r="D1504" t="s">
        <v>20</v>
      </c>
      <c r="E1504" t="s">
        <v>58</v>
      </c>
      <c r="F1504" t="s">
        <v>2303</v>
      </c>
      <c r="G1504" t="str">
        <f>"00079826"</f>
        <v>00079826</v>
      </c>
      <c r="H1504">
        <v>880</v>
      </c>
      <c r="I1504">
        <v>0</v>
      </c>
      <c r="J1504">
        <v>30</v>
      </c>
      <c r="K1504">
        <v>0</v>
      </c>
      <c r="L1504">
        <v>0</v>
      </c>
      <c r="M1504">
        <v>0</v>
      </c>
      <c r="N1504">
        <v>0</v>
      </c>
      <c r="O1504">
        <v>0</v>
      </c>
      <c r="P1504">
        <v>0</v>
      </c>
      <c r="Q1504">
        <v>0</v>
      </c>
      <c r="R1504">
        <v>84</v>
      </c>
      <c r="S1504">
        <v>588</v>
      </c>
      <c r="T1504">
        <v>0</v>
      </c>
      <c r="V1504">
        <v>0</v>
      </c>
      <c r="W1504">
        <v>1498</v>
      </c>
    </row>
    <row r="1505" spans="1:23" x14ac:dyDescent="0.25">
      <c r="H1505">
        <v>703</v>
      </c>
    </row>
    <row r="1506" spans="1:23" x14ac:dyDescent="0.25">
      <c r="A1506">
        <v>750</v>
      </c>
      <c r="B1506">
        <v>624</v>
      </c>
      <c r="C1506" t="s">
        <v>2304</v>
      </c>
      <c r="D1506" t="s">
        <v>112</v>
      </c>
      <c r="E1506" t="s">
        <v>76</v>
      </c>
      <c r="F1506" t="s">
        <v>2305</v>
      </c>
      <c r="G1506" t="str">
        <f>"00227036"</f>
        <v>00227036</v>
      </c>
      <c r="H1506" t="s">
        <v>574</v>
      </c>
      <c r="I1506">
        <v>0</v>
      </c>
      <c r="J1506">
        <v>0</v>
      </c>
      <c r="K1506">
        <v>0</v>
      </c>
      <c r="L1506">
        <v>0</v>
      </c>
      <c r="M1506">
        <v>0</v>
      </c>
      <c r="N1506">
        <v>0</v>
      </c>
      <c r="O1506">
        <v>0</v>
      </c>
      <c r="P1506">
        <v>0</v>
      </c>
      <c r="Q1506">
        <v>0</v>
      </c>
      <c r="R1506">
        <v>84</v>
      </c>
      <c r="S1506">
        <v>588</v>
      </c>
      <c r="T1506">
        <v>0</v>
      </c>
      <c r="V1506">
        <v>0</v>
      </c>
      <c r="W1506" t="s">
        <v>2306</v>
      </c>
    </row>
    <row r="1507" spans="1:23" x14ac:dyDescent="0.25">
      <c r="H1507">
        <v>703</v>
      </c>
    </row>
    <row r="1508" spans="1:23" x14ac:dyDescent="0.25">
      <c r="A1508">
        <v>751</v>
      </c>
      <c r="B1508">
        <v>2882</v>
      </c>
      <c r="C1508" t="s">
        <v>2307</v>
      </c>
      <c r="D1508" t="s">
        <v>112</v>
      </c>
      <c r="E1508" t="s">
        <v>135</v>
      </c>
      <c r="F1508" t="s">
        <v>2308</v>
      </c>
      <c r="G1508" t="str">
        <f>"00139404"</f>
        <v>00139404</v>
      </c>
      <c r="H1508" t="s">
        <v>2309</v>
      </c>
      <c r="I1508">
        <v>0</v>
      </c>
      <c r="J1508">
        <v>50</v>
      </c>
      <c r="K1508">
        <v>0</v>
      </c>
      <c r="L1508">
        <v>0</v>
      </c>
      <c r="M1508">
        <v>0</v>
      </c>
      <c r="N1508">
        <v>0</v>
      </c>
      <c r="O1508">
        <v>0</v>
      </c>
      <c r="P1508">
        <v>0</v>
      </c>
      <c r="Q1508">
        <v>0</v>
      </c>
      <c r="R1508">
        <v>84</v>
      </c>
      <c r="S1508">
        <v>588</v>
      </c>
      <c r="T1508">
        <v>0</v>
      </c>
      <c r="V1508">
        <v>0</v>
      </c>
      <c r="W1508" t="s">
        <v>2310</v>
      </c>
    </row>
    <row r="1509" spans="1:23" x14ac:dyDescent="0.25">
      <c r="H1509">
        <v>703</v>
      </c>
    </row>
    <row r="1510" spans="1:23" x14ac:dyDescent="0.25">
      <c r="A1510">
        <v>752</v>
      </c>
      <c r="B1510">
        <v>908</v>
      </c>
      <c r="C1510" t="s">
        <v>2311</v>
      </c>
      <c r="D1510" t="s">
        <v>697</v>
      </c>
      <c r="E1510" t="s">
        <v>62</v>
      </c>
      <c r="F1510" t="s">
        <v>2312</v>
      </c>
      <c r="G1510" t="str">
        <f>"00161391"</f>
        <v>00161391</v>
      </c>
      <c r="H1510">
        <v>759</v>
      </c>
      <c r="I1510">
        <v>150</v>
      </c>
      <c r="J1510">
        <v>0</v>
      </c>
      <c r="K1510">
        <v>0</v>
      </c>
      <c r="L1510">
        <v>0</v>
      </c>
      <c r="M1510">
        <v>0</v>
      </c>
      <c r="N1510">
        <v>0</v>
      </c>
      <c r="O1510">
        <v>0</v>
      </c>
      <c r="P1510">
        <v>0</v>
      </c>
      <c r="Q1510">
        <v>0</v>
      </c>
      <c r="R1510">
        <v>84</v>
      </c>
      <c r="S1510">
        <v>588</v>
      </c>
      <c r="T1510">
        <v>0</v>
      </c>
      <c r="V1510">
        <v>2</v>
      </c>
      <c r="W1510">
        <v>1497</v>
      </c>
    </row>
    <row r="1511" spans="1:23" x14ac:dyDescent="0.25">
      <c r="H1511">
        <v>703</v>
      </c>
    </row>
    <row r="1512" spans="1:23" x14ac:dyDescent="0.25">
      <c r="A1512">
        <v>753</v>
      </c>
      <c r="B1512">
        <v>1696</v>
      </c>
      <c r="C1512" t="s">
        <v>2313</v>
      </c>
      <c r="D1512" t="s">
        <v>20</v>
      </c>
      <c r="E1512" t="s">
        <v>15</v>
      </c>
      <c r="F1512" t="s">
        <v>2314</v>
      </c>
      <c r="G1512" t="str">
        <f>"201511004933"</f>
        <v>201511004933</v>
      </c>
      <c r="H1512" t="s">
        <v>2161</v>
      </c>
      <c r="I1512">
        <v>0</v>
      </c>
      <c r="J1512">
        <v>0</v>
      </c>
      <c r="K1512">
        <v>0</v>
      </c>
      <c r="L1512">
        <v>0</v>
      </c>
      <c r="M1512">
        <v>0</v>
      </c>
      <c r="N1512">
        <v>0</v>
      </c>
      <c r="O1512">
        <v>0</v>
      </c>
      <c r="P1512">
        <v>0</v>
      </c>
      <c r="Q1512">
        <v>0</v>
      </c>
      <c r="R1512">
        <v>84</v>
      </c>
      <c r="S1512">
        <v>588</v>
      </c>
      <c r="T1512">
        <v>0</v>
      </c>
      <c r="V1512">
        <v>0</v>
      </c>
      <c r="W1512" t="s">
        <v>2315</v>
      </c>
    </row>
    <row r="1513" spans="1:23" x14ac:dyDescent="0.25">
      <c r="H1513" t="s">
        <v>2316</v>
      </c>
    </row>
    <row r="1514" spans="1:23" x14ac:dyDescent="0.25">
      <c r="A1514">
        <v>754</v>
      </c>
      <c r="B1514">
        <v>1889</v>
      </c>
      <c r="C1514" t="s">
        <v>2317</v>
      </c>
      <c r="D1514" t="s">
        <v>67</v>
      </c>
      <c r="E1514" t="s">
        <v>227</v>
      </c>
      <c r="F1514" t="s">
        <v>2318</v>
      </c>
      <c r="G1514" t="str">
        <f>"201409005554"</f>
        <v>201409005554</v>
      </c>
      <c r="H1514">
        <v>990</v>
      </c>
      <c r="I1514">
        <v>0</v>
      </c>
      <c r="J1514">
        <v>70</v>
      </c>
      <c r="K1514">
        <v>0</v>
      </c>
      <c r="L1514">
        <v>0</v>
      </c>
      <c r="M1514">
        <v>30</v>
      </c>
      <c r="N1514">
        <v>0</v>
      </c>
      <c r="O1514">
        <v>0</v>
      </c>
      <c r="P1514">
        <v>0</v>
      </c>
      <c r="Q1514">
        <v>0</v>
      </c>
      <c r="R1514">
        <v>58</v>
      </c>
      <c r="S1514">
        <v>406</v>
      </c>
      <c r="T1514">
        <v>0</v>
      </c>
      <c r="V1514">
        <v>0</v>
      </c>
      <c r="W1514">
        <v>1496</v>
      </c>
    </row>
    <row r="1515" spans="1:23" x14ac:dyDescent="0.25">
      <c r="H1515" t="s">
        <v>70</v>
      </c>
    </row>
    <row r="1516" spans="1:23" x14ac:dyDescent="0.25">
      <c r="A1516">
        <v>755</v>
      </c>
      <c r="B1516">
        <v>1214</v>
      </c>
      <c r="C1516" t="s">
        <v>2319</v>
      </c>
      <c r="D1516" t="s">
        <v>912</v>
      </c>
      <c r="E1516" t="s">
        <v>251</v>
      </c>
      <c r="F1516" t="s">
        <v>2320</v>
      </c>
      <c r="G1516" t="str">
        <f>"201402010024"</f>
        <v>201402010024</v>
      </c>
      <c r="H1516">
        <v>891</v>
      </c>
      <c r="I1516">
        <v>150</v>
      </c>
      <c r="J1516">
        <v>70</v>
      </c>
      <c r="K1516">
        <v>0</v>
      </c>
      <c r="L1516">
        <v>0</v>
      </c>
      <c r="M1516">
        <v>0</v>
      </c>
      <c r="N1516">
        <v>0</v>
      </c>
      <c r="O1516">
        <v>0</v>
      </c>
      <c r="P1516">
        <v>0</v>
      </c>
      <c r="Q1516">
        <v>0</v>
      </c>
      <c r="R1516">
        <v>55</v>
      </c>
      <c r="S1516">
        <v>385</v>
      </c>
      <c r="T1516">
        <v>0</v>
      </c>
      <c r="V1516">
        <v>0</v>
      </c>
      <c r="W1516">
        <v>1496</v>
      </c>
    </row>
    <row r="1517" spans="1:23" x14ac:dyDescent="0.25">
      <c r="H1517">
        <v>703</v>
      </c>
    </row>
    <row r="1518" spans="1:23" x14ac:dyDescent="0.25">
      <c r="A1518">
        <v>756</v>
      </c>
      <c r="B1518">
        <v>511</v>
      </c>
      <c r="C1518" t="s">
        <v>321</v>
      </c>
      <c r="D1518" t="s">
        <v>911</v>
      </c>
      <c r="E1518" t="s">
        <v>109</v>
      </c>
      <c r="F1518" t="s">
        <v>2321</v>
      </c>
      <c r="G1518" t="str">
        <f>"201402008124"</f>
        <v>201402008124</v>
      </c>
      <c r="H1518">
        <v>979</v>
      </c>
      <c r="I1518">
        <v>150</v>
      </c>
      <c r="J1518">
        <v>70</v>
      </c>
      <c r="K1518">
        <v>0</v>
      </c>
      <c r="L1518">
        <v>0</v>
      </c>
      <c r="M1518">
        <v>0</v>
      </c>
      <c r="N1518">
        <v>30</v>
      </c>
      <c r="O1518">
        <v>0</v>
      </c>
      <c r="P1518">
        <v>0</v>
      </c>
      <c r="Q1518">
        <v>0</v>
      </c>
      <c r="R1518">
        <v>38</v>
      </c>
      <c r="S1518">
        <v>266</v>
      </c>
      <c r="T1518">
        <v>0</v>
      </c>
      <c r="V1518">
        <v>0</v>
      </c>
      <c r="W1518">
        <v>1495</v>
      </c>
    </row>
    <row r="1519" spans="1:23" x14ac:dyDescent="0.25">
      <c r="H1519" t="s">
        <v>70</v>
      </c>
    </row>
    <row r="1520" spans="1:23" x14ac:dyDescent="0.25">
      <c r="A1520">
        <v>757</v>
      </c>
      <c r="B1520">
        <v>1992</v>
      </c>
      <c r="C1520" t="s">
        <v>2322</v>
      </c>
      <c r="D1520" t="s">
        <v>15</v>
      </c>
      <c r="E1520" t="s">
        <v>21</v>
      </c>
      <c r="F1520" t="s">
        <v>2323</v>
      </c>
      <c r="G1520" t="str">
        <f>"201304003036"</f>
        <v>201304003036</v>
      </c>
      <c r="H1520">
        <v>1001</v>
      </c>
      <c r="I1520">
        <v>0</v>
      </c>
      <c r="J1520">
        <v>70</v>
      </c>
      <c r="K1520">
        <v>30</v>
      </c>
      <c r="L1520">
        <v>0</v>
      </c>
      <c r="M1520">
        <v>0</v>
      </c>
      <c r="N1520">
        <v>0</v>
      </c>
      <c r="O1520">
        <v>0</v>
      </c>
      <c r="P1520">
        <v>0</v>
      </c>
      <c r="Q1520">
        <v>0</v>
      </c>
      <c r="R1520">
        <v>56</v>
      </c>
      <c r="S1520">
        <v>392</v>
      </c>
      <c r="T1520">
        <v>0</v>
      </c>
      <c r="V1520">
        <v>0</v>
      </c>
      <c r="W1520">
        <v>1493</v>
      </c>
    </row>
    <row r="1521" spans="1:23" x14ac:dyDescent="0.25">
      <c r="H1521" t="s">
        <v>26</v>
      </c>
    </row>
    <row r="1522" spans="1:23" x14ac:dyDescent="0.25">
      <c r="A1522">
        <v>758</v>
      </c>
      <c r="B1522">
        <v>818</v>
      </c>
      <c r="C1522" t="s">
        <v>2324</v>
      </c>
      <c r="D1522" t="s">
        <v>20</v>
      </c>
      <c r="E1522" t="s">
        <v>91</v>
      </c>
      <c r="F1522" t="s">
        <v>2325</v>
      </c>
      <c r="G1522" t="str">
        <f>"201402004062"</f>
        <v>201402004062</v>
      </c>
      <c r="H1522">
        <v>924</v>
      </c>
      <c r="I1522">
        <v>0</v>
      </c>
      <c r="J1522">
        <v>30</v>
      </c>
      <c r="K1522">
        <v>0</v>
      </c>
      <c r="L1522">
        <v>0</v>
      </c>
      <c r="M1522">
        <v>0</v>
      </c>
      <c r="N1522">
        <v>70</v>
      </c>
      <c r="O1522">
        <v>0</v>
      </c>
      <c r="P1522">
        <v>0</v>
      </c>
      <c r="Q1522">
        <v>0</v>
      </c>
      <c r="R1522">
        <v>67</v>
      </c>
      <c r="S1522">
        <v>469</v>
      </c>
      <c r="T1522">
        <v>0</v>
      </c>
      <c r="V1522">
        <v>0</v>
      </c>
      <c r="W1522">
        <v>1493</v>
      </c>
    </row>
    <row r="1523" spans="1:23" x14ac:dyDescent="0.25">
      <c r="H1523" t="s">
        <v>70</v>
      </c>
    </row>
    <row r="1524" spans="1:23" x14ac:dyDescent="0.25">
      <c r="A1524">
        <v>759</v>
      </c>
      <c r="B1524">
        <v>1057</v>
      </c>
      <c r="C1524" t="s">
        <v>963</v>
      </c>
      <c r="D1524" t="s">
        <v>273</v>
      </c>
      <c r="E1524" t="s">
        <v>113</v>
      </c>
      <c r="F1524" t="s">
        <v>2326</v>
      </c>
      <c r="G1524" t="str">
        <f>"201412000135"</f>
        <v>201412000135</v>
      </c>
      <c r="H1524" t="s">
        <v>1014</v>
      </c>
      <c r="I1524">
        <v>0</v>
      </c>
      <c r="J1524">
        <v>30</v>
      </c>
      <c r="K1524">
        <v>0</v>
      </c>
      <c r="L1524">
        <v>0</v>
      </c>
      <c r="M1524">
        <v>0</v>
      </c>
      <c r="N1524">
        <v>0</v>
      </c>
      <c r="O1524">
        <v>0</v>
      </c>
      <c r="P1524">
        <v>0</v>
      </c>
      <c r="Q1524">
        <v>0</v>
      </c>
      <c r="R1524">
        <v>84</v>
      </c>
      <c r="S1524">
        <v>588</v>
      </c>
      <c r="T1524">
        <v>0</v>
      </c>
      <c r="V1524">
        <v>0</v>
      </c>
      <c r="W1524" t="s">
        <v>2327</v>
      </c>
    </row>
    <row r="1525" spans="1:23" x14ac:dyDescent="0.25">
      <c r="H1525">
        <v>703</v>
      </c>
    </row>
    <row r="1526" spans="1:23" x14ac:dyDescent="0.25">
      <c r="A1526">
        <v>760</v>
      </c>
      <c r="B1526">
        <v>2252</v>
      </c>
      <c r="C1526" t="s">
        <v>103</v>
      </c>
      <c r="D1526" t="s">
        <v>40</v>
      </c>
      <c r="E1526" t="s">
        <v>109</v>
      </c>
      <c r="F1526" t="s">
        <v>2328</v>
      </c>
      <c r="G1526" t="str">
        <f>"00227027"</f>
        <v>00227027</v>
      </c>
      <c r="H1526" t="s">
        <v>1014</v>
      </c>
      <c r="I1526">
        <v>0</v>
      </c>
      <c r="J1526">
        <v>30</v>
      </c>
      <c r="K1526">
        <v>0</v>
      </c>
      <c r="L1526">
        <v>0</v>
      </c>
      <c r="M1526">
        <v>0</v>
      </c>
      <c r="N1526">
        <v>0</v>
      </c>
      <c r="O1526">
        <v>0</v>
      </c>
      <c r="P1526">
        <v>0</v>
      </c>
      <c r="Q1526">
        <v>0</v>
      </c>
      <c r="R1526">
        <v>84</v>
      </c>
      <c r="S1526">
        <v>588</v>
      </c>
      <c r="T1526">
        <v>0</v>
      </c>
      <c r="V1526">
        <v>0</v>
      </c>
      <c r="W1526" t="s">
        <v>2327</v>
      </c>
    </row>
    <row r="1527" spans="1:23" x14ac:dyDescent="0.25">
      <c r="H1527" t="s">
        <v>26</v>
      </c>
    </row>
    <row r="1528" spans="1:23" x14ac:dyDescent="0.25">
      <c r="A1528">
        <v>761</v>
      </c>
      <c r="B1528">
        <v>1437</v>
      </c>
      <c r="C1528" t="s">
        <v>2329</v>
      </c>
      <c r="D1528" t="s">
        <v>2330</v>
      </c>
      <c r="E1528" t="s">
        <v>99</v>
      </c>
      <c r="F1528" t="s">
        <v>2331</v>
      </c>
      <c r="G1528" t="str">
        <f>"201406013004"</f>
        <v>201406013004</v>
      </c>
      <c r="H1528">
        <v>902</v>
      </c>
      <c r="I1528">
        <v>0</v>
      </c>
      <c r="J1528">
        <v>30</v>
      </c>
      <c r="K1528">
        <v>0</v>
      </c>
      <c r="L1528">
        <v>0</v>
      </c>
      <c r="M1528">
        <v>0</v>
      </c>
      <c r="N1528">
        <v>0</v>
      </c>
      <c r="O1528">
        <v>0</v>
      </c>
      <c r="P1528">
        <v>0</v>
      </c>
      <c r="Q1528">
        <v>0</v>
      </c>
      <c r="R1528">
        <v>80</v>
      </c>
      <c r="S1528">
        <v>560</v>
      </c>
      <c r="T1528">
        <v>0</v>
      </c>
      <c r="V1528">
        <v>0</v>
      </c>
      <c r="W1528">
        <v>1492</v>
      </c>
    </row>
    <row r="1529" spans="1:23" x14ac:dyDescent="0.25">
      <c r="H1529">
        <v>703</v>
      </c>
    </row>
    <row r="1530" spans="1:23" x14ac:dyDescent="0.25">
      <c r="A1530">
        <v>762</v>
      </c>
      <c r="B1530">
        <v>671</v>
      </c>
      <c r="C1530" t="s">
        <v>2332</v>
      </c>
      <c r="D1530" t="s">
        <v>185</v>
      </c>
      <c r="E1530" t="s">
        <v>53</v>
      </c>
      <c r="F1530" t="s">
        <v>2333</v>
      </c>
      <c r="G1530" t="str">
        <f>"201406008052"</f>
        <v>201406008052</v>
      </c>
      <c r="H1530" t="s">
        <v>131</v>
      </c>
      <c r="I1530">
        <v>150</v>
      </c>
      <c r="J1530">
        <v>50</v>
      </c>
      <c r="K1530">
        <v>0</v>
      </c>
      <c r="L1530">
        <v>0</v>
      </c>
      <c r="M1530">
        <v>0</v>
      </c>
      <c r="N1530">
        <v>0</v>
      </c>
      <c r="O1530">
        <v>0</v>
      </c>
      <c r="P1530">
        <v>0</v>
      </c>
      <c r="Q1530">
        <v>0</v>
      </c>
      <c r="R1530">
        <v>34</v>
      </c>
      <c r="S1530">
        <v>238</v>
      </c>
      <c r="T1530">
        <v>0</v>
      </c>
      <c r="V1530">
        <v>0</v>
      </c>
      <c r="W1530" t="s">
        <v>2334</v>
      </c>
    </row>
    <row r="1531" spans="1:23" x14ac:dyDescent="0.25">
      <c r="H1531">
        <v>703</v>
      </c>
    </row>
    <row r="1532" spans="1:23" x14ac:dyDescent="0.25">
      <c r="A1532">
        <v>763</v>
      </c>
      <c r="B1532">
        <v>674</v>
      </c>
      <c r="C1532" t="s">
        <v>2335</v>
      </c>
      <c r="D1532" t="s">
        <v>2336</v>
      </c>
      <c r="E1532" t="s">
        <v>91</v>
      </c>
      <c r="F1532" t="s">
        <v>2337</v>
      </c>
      <c r="G1532" t="str">
        <f>"00182388"</f>
        <v>00182388</v>
      </c>
      <c r="H1532" t="s">
        <v>1532</v>
      </c>
      <c r="I1532">
        <v>0</v>
      </c>
      <c r="J1532">
        <v>30</v>
      </c>
      <c r="K1532">
        <v>0</v>
      </c>
      <c r="L1532">
        <v>0</v>
      </c>
      <c r="M1532">
        <v>0</v>
      </c>
      <c r="N1532">
        <v>0</v>
      </c>
      <c r="O1532">
        <v>0</v>
      </c>
      <c r="P1532">
        <v>0</v>
      </c>
      <c r="Q1532">
        <v>0</v>
      </c>
      <c r="R1532">
        <v>76</v>
      </c>
      <c r="S1532">
        <v>532</v>
      </c>
      <c r="T1532">
        <v>0</v>
      </c>
      <c r="V1532">
        <v>0</v>
      </c>
      <c r="W1532" t="s">
        <v>2338</v>
      </c>
    </row>
    <row r="1533" spans="1:23" x14ac:dyDescent="0.25">
      <c r="H1533">
        <v>703</v>
      </c>
    </row>
    <row r="1534" spans="1:23" x14ac:dyDescent="0.25">
      <c r="A1534">
        <v>764</v>
      </c>
      <c r="B1534">
        <v>2999</v>
      </c>
      <c r="C1534" t="s">
        <v>2339</v>
      </c>
      <c r="D1534" t="s">
        <v>523</v>
      </c>
      <c r="E1534" t="s">
        <v>41</v>
      </c>
      <c r="F1534" t="s">
        <v>2340</v>
      </c>
      <c r="G1534" t="str">
        <f>"200802000997"</f>
        <v>200802000997</v>
      </c>
      <c r="H1534">
        <v>880</v>
      </c>
      <c r="I1534">
        <v>0</v>
      </c>
      <c r="J1534">
        <v>70</v>
      </c>
      <c r="K1534">
        <v>0</v>
      </c>
      <c r="L1534">
        <v>50</v>
      </c>
      <c r="M1534">
        <v>70</v>
      </c>
      <c r="N1534">
        <v>0</v>
      </c>
      <c r="O1534">
        <v>0</v>
      </c>
      <c r="P1534">
        <v>0</v>
      </c>
      <c r="Q1534">
        <v>0</v>
      </c>
      <c r="R1534">
        <v>60</v>
      </c>
      <c r="S1534">
        <v>420</v>
      </c>
      <c r="T1534">
        <v>0</v>
      </c>
      <c r="V1534">
        <v>0</v>
      </c>
      <c r="W1534">
        <v>1490</v>
      </c>
    </row>
    <row r="1535" spans="1:23" x14ac:dyDescent="0.25">
      <c r="H1535" t="s">
        <v>70</v>
      </c>
    </row>
    <row r="1536" spans="1:23" x14ac:dyDescent="0.25">
      <c r="A1536">
        <v>765</v>
      </c>
      <c r="B1536">
        <v>2671</v>
      </c>
      <c r="C1536" t="s">
        <v>2341</v>
      </c>
      <c r="D1536" t="s">
        <v>40</v>
      </c>
      <c r="E1536" t="s">
        <v>1678</v>
      </c>
      <c r="F1536" t="s">
        <v>2342</v>
      </c>
      <c r="G1536" t="str">
        <f>"00037815"</f>
        <v>00037815</v>
      </c>
      <c r="H1536" t="s">
        <v>2343</v>
      </c>
      <c r="I1536">
        <v>0</v>
      </c>
      <c r="J1536">
        <v>0</v>
      </c>
      <c r="K1536">
        <v>0</v>
      </c>
      <c r="L1536">
        <v>0</v>
      </c>
      <c r="M1536">
        <v>0</v>
      </c>
      <c r="N1536">
        <v>0</v>
      </c>
      <c r="O1536">
        <v>0</v>
      </c>
      <c r="P1536">
        <v>0</v>
      </c>
      <c r="Q1536">
        <v>0</v>
      </c>
      <c r="R1536">
        <v>84</v>
      </c>
      <c r="S1536">
        <v>588</v>
      </c>
      <c r="T1536">
        <v>0</v>
      </c>
      <c r="V1536">
        <v>2</v>
      </c>
      <c r="W1536" t="s">
        <v>2344</v>
      </c>
    </row>
    <row r="1537" spans="1:23" x14ac:dyDescent="0.25">
      <c r="H1537">
        <v>703</v>
      </c>
    </row>
    <row r="1538" spans="1:23" x14ac:dyDescent="0.25">
      <c r="A1538">
        <v>766</v>
      </c>
      <c r="B1538">
        <v>919</v>
      </c>
      <c r="C1538" t="s">
        <v>2345</v>
      </c>
      <c r="D1538" t="s">
        <v>523</v>
      </c>
      <c r="E1538" t="s">
        <v>76</v>
      </c>
      <c r="F1538" t="s">
        <v>2346</v>
      </c>
      <c r="G1538" t="str">
        <f>"00108486"</f>
        <v>00108486</v>
      </c>
      <c r="H1538" t="s">
        <v>2147</v>
      </c>
      <c r="I1538">
        <v>0</v>
      </c>
      <c r="J1538">
        <v>30</v>
      </c>
      <c r="K1538">
        <v>0</v>
      </c>
      <c r="L1538">
        <v>0</v>
      </c>
      <c r="M1538">
        <v>0</v>
      </c>
      <c r="N1538">
        <v>0</v>
      </c>
      <c r="O1538">
        <v>0</v>
      </c>
      <c r="P1538">
        <v>0</v>
      </c>
      <c r="Q1538">
        <v>0</v>
      </c>
      <c r="R1538">
        <v>84</v>
      </c>
      <c r="S1538">
        <v>588</v>
      </c>
      <c r="T1538">
        <v>0</v>
      </c>
      <c r="V1538">
        <v>0</v>
      </c>
      <c r="W1538" t="s">
        <v>2347</v>
      </c>
    </row>
    <row r="1539" spans="1:23" x14ac:dyDescent="0.25">
      <c r="H1539" t="s">
        <v>26</v>
      </c>
    </row>
    <row r="1540" spans="1:23" x14ac:dyDescent="0.25">
      <c r="A1540">
        <v>767</v>
      </c>
      <c r="B1540">
        <v>951</v>
      </c>
      <c r="C1540" t="s">
        <v>2348</v>
      </c>
      <c r="D1540" t="s">
        <v>2349</v>
      </c>
      <c r="E1540" t="s">
        <v>68</v>
      </c>
      <c r="F1540" t="s">
        <v>2350</v>
      </c>
      <c r="G1540" t="str">
        <f>"201410000154"</f>
        <v>201410000154</v>
      </c>
      <c r="H1540">
        <v>990</v>
      </c>
      <c r="I1540">
        <v>0</v>
      </c>
      <c r="J1540">
        <v>70</v>
      </c>
      <c r="K1540">
        <v>0</v>
      </c>
      <c r="L1540">
        <v>50</v>
      </c>
      <c r="M1540">
        <v>0</v>
      </c>
      <c r="N1540">
        <v>0</v>
      </c>
      <c r="O1540">
        <v>0</v>
      </c>
      <c r="P1540">
        <v>0</v>
      </c>
      <c r="Q1540">
        <v>0</v>
      </c>
      <c r="R1540">
        <v>54</v>
      </c>
      <c r="S1540">
        <v>378</v>
      </c>
      <c r="T1540">
        <v>0</v>
      </c>
      <c r="V1540">
        <v>0</v>
      </c>
      <c r="W1540">
        <v>1488</v>
      </c>
    </row>
    <row r="1541" spans="1:23" x14ac:dyDescent="0.25">
      <c r="H1541" t="s">
        <v>70</v>
      </c>
    </row>
    <row r="1542" spans="1:23" x14ac:dyDescent="0.25">
      <c r="A1542">
        <v>768</v>
      </c>
      <c r="B1542">
        <v>2729</v>
      </c>
      <c r="C1542" t="s">
        <v>1683</v>
      </c>
      <c r="D1542" t="s">
        <v>20</v>
      </c>
      <c r="E1542" t="s">
        <v>15</v>
      </c>
      <c r="F1542" t="s">
        <v>2351</v>
      </c>
      <c r="G1542" t="str">
        <f>"201412000580"</f>
        <v>201412000580</v>
      </c>
      <c r="H1542">
        <v>935</v>
      </c>
      <c r="I1542">
        <v>0</v>
      </c>
      <c r="J1542">
        <v>70</v>
      </c>
      <c r="K1542">
        <v>0</v>
      </c>
      <c r="L1542">
        <v>0</v>
      </c>
      <c r="M1542">
        <v>0</v>
      </c>
      <c r="N1542">
        <v>0</v>
      </c>
      <c r="O1542">
        <v>0</v>
      </c>
      <c r="P1542">
        <v>0</v>
      </c>
      <c r="Q1542">
        <v>0</v>
      </c>
      <c r="R1542">
        <v>69</v>
      </c>
      <c r="S1542">
        <v>483</v>
      </c>
      <c r="T1542">
        <v>0</v>
      </c>
      <c r="V1542">
        <v>0</v>
      </c>
      <c r="W1542">
        <v>1488</v>
      </c>
    </row>
    <row r="1543" spans="1:23" x14ac:dyDescent="0.25">
      <c r="H1543">
        <v>703</v>
      </c>
    </row>
    <row r="1544" spans="1:23" x14ac:dyDescent="0.25">
      <c r="A1544">
        <v>769</v>
      </c>
      <c r="B1544">
        <v>341</v>
      </c>
      <c r="C1544" t="s">
        <v>2352</v>
      </c>
      <c r="D1544" t="s">
        <v>14</v>
      </c>
      <c r="E1544" t="s">
        <v>53</v>
      </c>
      <c r="F1544" t="s">
        <v>2353</v>
      </c>
      <c r="G1544" t="str">
        <f>"200802001762"</f>
        <v>200802001762</v>
      </c>
      <c r="H1544" t="s">
        <v>1377</v>
      </c>
      <c r="I1544">
        <v>0</v>
      </c>
      <c r="J1544">
        <v>0</v>
      </c>
      <c r="K1544">
        <v>0</v>
      </c>
      <c r="L1544">
        <v>0</v>
      </c>
      <c r="M1544">
        <v>0</v>
      </c>
      <c r="N1544">
        <v>0</v>
      </c>
      <c r="O1544">
        <v>0</v>
      </c>
      <c r="P1544">
        <v>0</v>
      </c>
      <c r="Q1544">
        <v>0</v>
      </c>
      <c r="R1544">
        <v>84</v>
      </c>
      <c r="S1544">
        <v>588</v>
      </c>
      <c r="T1544">
        <v>0</v>
      </c>
      <c r="V1544">
        <v>3</v>
      </c>
      <c r="W1544" t="s">
        <v>2354</v>
      </c>
    </row>
    <row r="1545" spans="1:23" x14ac:dyDescent="0.25">
      <c r="H1545">
        <v>703</v>
      </c>
    </row>
    <row r="1546" spans="1:23" x14ac:dyDescent="0.25">
      <c r="A1546">
        <v>770</v>
      </c>
      <c r="B1546">
        <v>959</v>
      </c>
      <c r="C1546" t="s">
        <v>1595</v>
      </c>
      <c r="D1546" t="s">
        <v>1026</v>
      </c>
      <c r="E1546" t="s">
        <v>76</v>
      </c>
      <c r="F1546" t="s">
        <v>2355</v>
      </c>
      <c r="G1546" t="str">
        <f>"200905000495"</f>
        <v>200905000495</v>
      </c>
      <c r="H1546" t="s">
        <v>1377</v>
      </c>
      <c r="I1546">
        <v>0</v>
      </c>
      <c r="J1546">
        <v>0</v>
      </c>
      <c r="K1546">
        <v>0</v>
      </c>
      <c r="L1546">
        <v>0</v>
      </c>
      <c r="M1546">
        <v>0</v>
      </c>
      <c r="N1546">
        <v>0</v>
      </c>
      <c r="O1546">
        <v>0</v>
      </c>
      <c r="P1546">
        <v>0</v>
      </c>
      <c r="Q1546">
        <v>0</v>
      </c>
      <c r="R1546">
        <v>84</v>
      </c>
      <c r="S1546">
        <v>588</v>
      </c>
      <c r="T1546">
        <v>0</v>
      </c>
      <c r="V1546">
        <v>2</v>
      </c>
      <c r="W1546" t="s">
        <v>2354</v>
      </c>
    </row>
    <row r="1547" spans="1:23" x14ac:dyDescent="0.25">
      <c r="H1547">
        <v>703</v>
      </c>
    </row>
    <row r="1548" spans="1:23" x14ac:dyDescent="0.25">
      <c r="A1548">
        <v>771</v>
      </c>
      <c r="B1548">
        <v>30</v>
      </c>
      <c r="C1548" t="s">
        <v>2356</v>
      </c>
      <c r="D1548" t="s">
        <v>46</v>
      </c>
      <c r="E1548" t="s">
        <v>113</v>
      </c>
      <c r="F1548" t="s">
        <v>2357</v>
      </c>
      <c r="G1548" t="str">
        <f>"00140957"</f>
        <v>00140957</v>
      </c>
      <c r="H1548">
        <v>990</v>
      </c>
      <c r="I1548">
        <v>0</v>
      </c>
      <c r="J1548">
        <v>0</v>
      </c>
      <c r="K1548">
        <v>0</v>
      </c>
      <c r="L1548">
        <v>0</v>
      </c>
      <c r="M1548">
        <v>0</v>
      </c>
      <c r="N1548">
        <v>0</v>
      </c>
      <c r="O1548">
        <v>0</v>
      </c>
      <c r="P1548">
        <v>0</v>
      </c>
      <c r="Q1548">
        <v>0</v>
      </c>
      <c r="R1548">
        <v>71</v>
      </c>
      <c r="S1548">
        <v>497</v>
      </c>
      <c r="T1548">
        <v>0</v>
      </c>
      <c r="V1548">
        <v>0</v>
      </c>
      <c r="W1548">
        <v>1487</v>
      </c>
    </row>
    <row r="1549" spans="1:23" x14ac:dyDescent="0.25">
      <c r="H1549">
        <v>703</v>
      </c>
    </row>
    <row r="1550" spans="1:23" x14ac:dyDescent="0.25">
      <c r="A1550">
        <v>772</v>
      </c>
      <c r="B1550">
        <v>2535</v>
      </c>
      <c r="C1550" t="s">
        <v>2358</v>
      </c>
      <c r="D1550" t="s">
        <v>2062</v>
      </c>
      <c r="E1550" t="s">
        <v>76</v>
      </c>
      <c r="F1550" t="s">
        <v>2359</v>
      </c>
      <c r="G1550" t="str">
        <f>"00046234"</f>
        <v>00046234</v>
      </c>
      <c r="H1550">
        <v>869</v>
      </c>
      <c r="I1550">
        <v>0</v>
      </c>
      <c r="J1550">
        <v>30</v>
      </c>
      <c r="K1550">
        <v>0</v>
      </c>
      <c r="L1550">
        <v>0</v>
      </c>
      <c r="M1550">
        <v>0</v>
      </c>
      <c r="N1550">
        <v>0</v>
      </c>
      <c r="O1550">
        <v>0</v>
      </c>
      <c r="P1550">
        <v>0</v>
      </c>
      <c r="Q1550">
        <v>0</v>
      </c>
      <c r="R1550">
        <v>84</v>
      </c>
      <c r="S1550">
        <v>588</v>
      </c>
      <c r="T1550">
        <v>0</v>
      </c>
      <c r="V1550">
        <v>0</v>
      </c>
      <c r="W1550">
        <v>1487</v>
      </c>
    </row>
    <row r="1551" spans="1:23" x14ac:dyDescent="0.25">
      <c r="H1551">
        <v>703</v>
      </c>
    </row>
    <row r="1552" spans="1:23" x14ac:dyDescent="0.25">
      <c r="A1552">
        <v>773</v>
      </c>
      <c r="B1552">
        <v>1500</v>
      </c>
      <c r="C1552" t="s">
        <v>2360</v>
      </c>
      <c r="D1552" t="s">
        <v>258</v>
      </c>
      <c r="E1552" t="s">
        <v>24</v>
      </c>
      <c r="F1552" t="s">
        <v>2361</v>
      </c>
      <c r="G1552" t="str">
        <f>"200801010506"</f>
        <v>200801010506</v>
      </c>
      <c r="H1552" t="s">
        <v>1014</v>
      </c>
      <c r="I1552">
        <v>150</v>
      </c>
      <c r="J1552">
        <v>0</v>
      </c>
      <c r="K1552">
        <v>0</v>
      </c>
      <c r="L1552">
        <v>0</v>
      </c>
      <c r="M1552">
        <v>0</v>
      </c>
      <c r="N1552">
        <v>0</v>
      </c>
      <c r="O1552">
        <v>0</v>
      </c>
      <c r="P1552">
        <v>0</v>
      </c>
      <c r="Q1552">
        <v>0</v>
      </c>
      <c r="R1552">
        <v>66</v>
      </c>
      <c r="S1552">
        <v>462</v>
      </c>
      <c r="T1552">
        <v>0</v>
      </c>
      <c r="V1552">
        <v>1</v>
      </c>
      <c r="W1552" t="s">
        <v>2362</v>
      </c>
    </row>
    <row r="1553" spans="1:23" x14ac:dyDescent="0.25">
      <c r="H1553">
        <v>703</v>
      </c>
    </row>
    <row r="1554" spans="1:23" x14ac:dyDescent="0.25">
      <c r="A1554">
        <v>774</v>
      </c>
      <c r="B1554">
        <v>3008</v>
      </c>
      <c r="C1554" t="s">
        <v>2363</v>
      </c>
      <c r="D1554" t="s">
        <v>185</v>
      </c>
      <c r="E1554" t="s">
        <v>109</v>
      </c>
      <c r="F1554" t="s">
        <v>2364</v>
      </c>
      <c r="G1554" t="str">
        <f>"201406015705"</f>
        <v>201406015705</v>
      </c>
      <c r="H1554">
        <v>1045</v>
      </c>
      <c r="I1554">
        <v>0</v>
      </c>
      <c r="J1554">
        <v>70</v>
      </c>
      <c r="K1554">
        <v>0</v>
      </c>
      <c r="L1554">
        <v>0</v>
      </c>
      <c r="M1554">
        <v>0</v>
      </c>
      <c r="N1554">
        <v>0</v>
      </c>
      <c r="O1554">
        <v>0</v>
      </c>
      <c r="P1554">
        <v>0</v>
      </c>
      <c r="Q1554">
        <v>0</v>
      </c>
      <c r="R1554">
        <v>53</v>
      </c>
      <c r="S1554">
        <v>371</v>
      </c>
      <c r="T1554">
        <v>0</v>
      </c>
      <c r="V1554">
        <v>1</v>
      </c>
      <c r="W1554">
        <v>1486</v>
      </c>
    </row>
    <row r="1555" spans="1:23" x14ac:dyDescent="0.25">
      <c r="H1555">
        <v>703</v>
      </c>
    </row>
    <row r="1556" spans="1:23" x14ac:dyDescent="0.25">
      <c r="A1556">
        <v>775</v>
      </c>
      <c r="B1556">
        <v>1619</v>
      </c>
      <c r="C1556" t="s">
        <v>2365</v>
      </c>
      <c r="D1556" t="s">
        <v>2366</v>
      </c>
      <c r="E1556" t="s">
        <v>105</v>
      </c>
      <c r="F1556" t="s">
        <v>2367</v>
      </c>
      <c r="G1556" t="str">
        <f>"201406003915"</f>
        <v>201406003915</v>
      </c>
      <c r="H1556">
        <v>902</v>
      </c>
      <c r="I1556">
        <v>0</v>
      </c>
      <c r="J1556">
        <v>50</v>
      </c>
      <c r="K1556">
        <v>0</v>
      </c>
      <c r="L1556">
        <v>30</v>
      </c>
      <c r="M1556">
        <v>0</v>
      </c>
      <c r="N1556">
        <v>0</v>
      </c>
      <c r="O1556">
        <v>0</v>
      </c>
      <c r="P1556">
        <v>0</v>
      </c>
      <c r="Q1556">
        <v>0</v>
      </c>
      <c r="R1556">
        <v>72</v>
      </c>
      <c r="S1556">
        <v>504</v>
      </c>
      <c r="T1556">
        <v>0</v>
      </c>
      <c r="V1556">
        <v>0</v>
      </c>
      <c r="W1556">
        <v>1486</v>
      </c>
    </row>
    <row r="1557" spans="1:23" x14ac:dyDescent="0.25">
      <c r="H1557" t="s">
        <v>70</v>
      </c>
    </row>
    <row r="1558" spans="1:23" x14ac:dyDescent="0.25">
      <c r="A1558">
        <v>776</v>
      </c>
      <c r="B1558">
        <v>2864</v>
      </c>
      <c r="C1558" t="s">
        <v>2368</v>
      </c>
      <c r="D1558" t="s">
        <v>2369</v>
      </c>
      <c r="E1558" t="s">
        <v>2370</v>
      </c>
      <c r="F1558" t="s">
        <v>2371</v>
      </c>
      <c r="G1558" t="str">
        <f>"20160707639"</f>
        <v>20160707639</v>
      </c>
      <c r="H1558" t="s">
        <v>622</v>
      </c>
      <c r="I1558">
        <v>0</v>
      </c>
      <c r="J1558">
        <v>0</v>
      </c>
      <c r="K1558">
        <v>0</v>
      </c>
      <c r="L1558">
        <v>0</v>
      </c>
      <c r="M1558">
        <v>0</v>
      </c>
      <c r="N1558">
        <v>0</v>
      </c>
      <c r="O1558">
        <v>0</v>
      </c>
      <c r="P1558">
        <v>0</v>
      </c>
      <c r="Q1558">
        <v>0</v>
      </c>
      <c r="R1558">
        <v>73</v>
      </c>
      <c r="S1558">
        <v>511</v>
      </c>
      <c r="T1558">
        <v>0</v>
      </c>
      <c r="V1558">
        <v>0</v>
      </c>
      <c r="W1558" t="s">
        <v>2372</v>
      </c>
    </row>
    <row r="1559" spans="1:23" x14ac:dyDescent="0.25">
      <c r="H1559">
        <v>703</v>
      </c>
    </row>
    <row r="1560" spans="1:23" x14ac:dyDescent="0.25">
      <c r="A1560">
        <v>777</v>
      </c>
      <c r="B1560">
        <v>173</v>
      </c>
      <c r="C1560" t="s">
        <v>1829</v>
      </c>
      <c r="D1560" t="s">
        <v>112</v>
      </c>
      <c r="E1560" t="s">
        <v>478</v>
      </c>
      <c r="F1560" t="s">
        <v>2373</v>
      </c>
      <c r="G1560" t="str">
        <f>"00134611"</f>
        <v>00134611</v>
      </c>
      <c r="H1560" t="s">
        <v>2374</v>
      </c>
      <c r="I1560">
        <v>0</v>
      </c>
      <c r="J1560">
        <v>30</v>
      </c>
      <c r="K1560">
        <v>0</v>
      </c>
      <c r="L1560">
        <v>0</v>
      </c>
      <c r="M1560">
        <v>0</v>
      </c>
      <c r="N1560">
        <v>0</v>
      </c>
      <c r="O1560">
        <v>70</v>
      </c>
      <c r="P1560">
        <v>0</v>
      </c>
      <c r="Q1560">
        <v>0</v>
      </c>
      <c r="R1560">
        <v>84</v>
      </c>
      <c r="S1560">
        <v>588</v>
      </c>
      <c r="T1560">
        <v>0</v>
      </c>
      <c r="V1560">
        <v>0</v>
      </c>
      <c r="W1560" t="s">
        <v>2375</v>
      </c>
    </row>
    <row r="1561" spans="1:23" x14ac:dyDescent="0.25">
      <c r="H1561">
        <v>703</v>
      </c>
    </row>
    <row r="1562" spans="1:23" x14ac:dyDescent="0.25">
      <c r="A1562">
        <v>778</v>
      </c>
      <c r="B1562">
        <v>161</v>
      </c>
      <c r="C1562" t="s">
        <v>2376</v>
      </c>
      <c r="D1562" t="s">
        <v>273</v>
      </c>
      <c r="E1562" t="s">
        <v>454</v>
      </c>
      <c r="F1562" t="s">
        <v>2377</v>
      </c>
      <c r="G1562" t="str">
        <f>"00224955"</f>
        <v>00224955</v>
      </c>
      <c r="H1562" t="s">
        <v>1001</v>
      </c>
      <c r="I1562">
        <v>0</v>
      </c>
      <c r="J1562">
        <v>0</v>
      </c>
      <c r="K1562">
        <v>0</v>
      </c>
      <c r="L1562">
        <v>0</v>
      </c>
      <c r="M1562">
        <v>0</v>
      </c>
      <c r="N1562">
        <v>0</v>
      </c>
      <c r="O1562">
        <v>0</v>
      </c>
      <c r="P1562">
        <v>0</v>
      </c>
      <c r="Q1562">
        <v>0</v>
      </c>
      <c r="R1562">
        <v>84</v>
      </c>
      <c r="S1562">
        <v>588</v>
      </c>
      <c r="T1562">
        <v>0</v>
      </c>
      <c r="V1562">
        <v>0</v>
      </c>
      <c r="W1562" t="s">
        <v>2378</v>
      </c>
    </row>
    <row r="1563" spans="1:23" x14ac:dyDescent="0.25">
      <c r="H1563">
        <v>703</v>
      </c>
    </row>
    <row r="1564" spans="1:23" x14ac:dyDescent="0.25">
      <c r="A1564">
        <v>779</v>
      </c>
      <c r="B1564">
        <v>1695</v>
      </c>
      <c r="C1564" t="s">
        <v>2379</v>
      </c>
      <c r="D1564" t="s">
        <v>597</v>
      </c>
      <c r="E1564" t="s">
        <v>523</v>
      </c>
      <c r="F1564" t="s">
        <v>2380</v>
      </c>
      <c r="G1564" t="str">
        <f>"200803000355"</f>
        <v>200803000355</v>
      </c>
      <c r="H1564" t="s">
        <v>1218</v>
      </c>
      <c r="I1564">
        <v>0</v>
      </c>
      <c r="J1564">
        <v>70</v>
      </c>
      <c r="K1564">
        <v>0</v>
      </c>
      <c r="L1564">
        <v>0</v>
      </c>
      <c r="M1564">
        <v>0</v>
      </c>
      <c r="N1564">
        <v>0</v>
      </c>
      <c r="O1564">
        <v>0</v>
      </c>
      <c r="P1564">
        <v>30</v>
      </c>
      <c r="Q1564">
        <v>0</v>
      </c>
      <c r="R1564">
        <v>45</v>
      </c>
      <c r="S1564">
        <v>315</v>
      </c>
      <c r="T1564">
        <v>0</v>
      </c>
      <c r="V1564">
        <v>0</v>
      </c>
      <c r="W1564" t="s">
        <v>2381</v>
      </c>
    </row>
    <row r="1565" spans="1:23" x14ac:dyDescent="0.25">
      <c r="H1565">
        <v>703</v>
      </c>
    </row>
    <row r="1566" spans="1:23" x14ac:dyDescent="0.25">
      <c r="A1566">
        <v>780</v>
      </c>
      <c r="B1566">
        <v>3115</v>
      </c>
      <c r="C1566" t="s">
        <v>2382</v>
      </c>
      <c r="D1566" t="s">
        <v>293</v>
      </c>
      <c r="E1566" t="s">
        <v>76</v>
      </c>
      <c r="F1566" t="s">
        <v>2383</v>
      </c>
      <c r="G1566" t="str">
        <f>"201406007426"</f>
        <v>201406007426</v>
      </c>
      <c r="H1566" t="s">
        <v>1059</v>
      </c>
      <c r="I1566">
        <v>0</v>
      </c>
      <c r="J1566">
        <v>70</v>
      </c>
      <c r="K1566">
        <v>0</v>
      </c>
      <c r="L1566">
        <v>0</v>
      </c>
      <c r="M1566">
        <v>0</v>
      </c>
      <c r="N1566">
        <v>0</v>
      </c>
      <c r="O1566">
        <v>0</v>
      </c>
      <c r="P1566">
        <v>0</v>
      </c>
      <c r="Q1566">
        <v>0</v>
      </c>
      <c r="R1566">
        <v>54</v>
      </c>
      <c r="S1566">
        <v>378</v>
      </c>
      <c r="T1566">
        <v>0</v>
      </c>
      <c r="V1566">
        <v>0</v>
      </c>
      <c r="W1566" t="s">
        <v>2381</v>
      </c>
    </row>
    <row r="1567" spans="1:23" x14ac:dyDescent="0.25">
      <c r="H1567">
        <v>703</v>
      </c>
    </row>
    <row r="1568" spans="1:23" x14ac:dyDescent="0.25">
      <c r="A1568">
        <v>781</v>
      </c>
      <c r="B1568">
        <v>1224</v>
      </c>
      <c r="C1568" t="s">
        <v>2384</v>
      </c>
      <c r="D1568" t="s">
        <v>194</v>
      </c>
      <c r="E1568" t="s">
        <v>1937</v>
      </c>
      <c r="F1568" t="s">
        <v>2385</v>
      </c>
      <c r="G1568" t="str">
        <f>"00023673"</f>
        <v>00023673</v>
      </c>
      <c r="H1568" t="s">
        <v>43</v>
      </c>
      <c r="I1568">
        <v>0</v>
      </c>
      <c r="J1568">
        <v>30</v>
      </c>
      <c r="K1568">
        <v>0</v>
      </c>
      <c r="L1568">
        <v>0</v>
      </c>
      <c r="M1568">
        <v>0</v>
      </c>
      <c r="N1568">
        <v>0</v>
      </c>
      <c r="O1568">
        <v>0</v>
      </c>
      <c r="P1568">
        <v>0</v>
      </c>
      <c r="Q1568">
        <v>0</v>
      </c>
      <c r="R1568">
        <v>54</v>
      </c>
      <c r="S1568">
        <v>378</v>
      </c>
      <c r="T1568">
        <v>0</v>
      </c>
      <c r="V1568">
        <v>1</v>
      </c>
      <c r="W1568" t="s">
        <v>2386</v>
      </c>
    </row>
    <row r="1569" spans="1:23" x14ac:dyDescent="0.25">
      <c r="H1569">
        <v>703</v>
      </c>
    </row>
    <row r="1570" spans="1:23" x14ac:dyDescent="0.25">
      <c r="A1570">
        <v>782</v>
      </c>
      <c r="B1570">
        <v>2892</v>
      </c>
      <c r="C1570" t="s">
        <v>2387</v>
      </c>
      <c r="D1570" t="s">
        <v>2388</v>
      </c>
      <c r="E1570" t="s">
        <v>91</v>
      </c>
      <c r="F1570" t="s">
        <v>2389</v>
      </c>
      <c r="G1570" t="str">
        <f>"200712005101"</f>
        <v>200712005101</v>
      </c>
      <c r="H1570" t="s">
        <v>158</v>
      </c>
      <c r="I1570">
        <v>0</v>
      </c>
      <c r="J1570">
        <v>70</v>
      </c>
      <c r="K1570">
        <v>0</v>
      </c>
      <c r="L1570">
        <v>0</v>
      </c>
      <c r="M1570">
        <v>30</v>
      </c>
      <c r="N1570">
        <v>0</v>
      </c>
      <c r="O1570">
        <v>0</v>
      </c>
      <c r="P1570">
        <v>0</v>
      </c>
      <c r="Q1570">
        <v>0</v>
      </c>
      <c r="R1570">
        <v>52</v>
      </c>
      <c r="S1570">
        <v>364</v>
      </c>
      <c r="T1570">
        <v>0</v>
      </c>
      <c r="V1570">
        <v>0</v>
      </c>
      <c r="W1570" t="s">
        <v>2390</v>
      </c>
    </row>
    <row r="1571" spans="1:23" x14ac:dyDescent="0.25">
      <c r="H1571" t="s">
        <v>26</v>
      </c>
    </row>
    <row r="1572" spans="1:23" x14ac:dyDescent="0.25">
      <c r="A1572">
        <v>783</v>
      </c>
      <c r="B1572">
        <v>1648</v>
      </c>
      <c r="C1572" t="s">
        <v>2391</v>
      </c>
      <c r="D1572" t="s">
        <v>1684</v>
      </c>
      <c r="E1572" t="s">
        <v>478</v>
      </c>
      <c r="F1572" t="s">
        <v>2392</v>
      </c>
      <c r="G1572" t="str">
        <f>"201511040596"</f>
        <v>201511040596</v>
      </c>
      <c r="H1572" t="s">
        <v>2098</v>
      </c>
      <c r="I1572">
        <v>0</v>
      </c>
      <c r="J1572">
        <v>0</v>
      </c>
      <c r="K1572">
        <v>0</v>
      </c>
      <c r="L1572">
        <v>0</v>
      </c>
      <c r="M1572">
        <v>0</v>
      </c>
      <c r="N1572">
        <v>0</v>
      </c>
      <c r="O1572">
        <v>0</v>
      </c>
      <c r="P1572">
        <v>0</v>
      </c>
      <c r="Q1572">
        <v>0</v>
      </c>
      <c r="R1572">
        <v>84</v>
      </c>
      <c r="S1572">
        <v>588</v>
      </c>
      <c r="T1572">
        <v>0</v>
      </c>
      <c r="V1572">
        <v>0</v>
      </c>
      <c r="W1572" t="s">
        <v>2393</v>
      </c>
    </row>
    <row r="1573" spans="1:23" x14ac:dyDescent="0.25">
      <c r="H1573">
        <v>703</v>
      </c>
    </row>
    <row r="1574" spans="1:23" x14ac:dyDescent="0.25">
      <c r="A1574">
        <v>784</v>
      </c>
      <c r="B1574">
        <v>3076</v>
      </c>
      <c r="C1574" t="s">
        <v>1113</v>
      </c>
      <c r="D1574" t="s">
        <v>223</v>
      </c>
      <c r="E1574" t="s">
        <v>76</v>
      </c>
      <c r="F1574" t="s">
        <v>2394</v>
      </c>
      <c r="G1574" t="str">
        <f>"200904000221"</f>
        <v>200904000221</v>
      </c>
      <c r="H1574">
        <v>825</v>
      </c>
      <c r="I1574">
        <v>0</v>
      </c>
      <c r="J1574">
        <v>70</v>
      </c>
      <c r="K1574">
        <v>0</v>
      </c>
      <c r="L1574">
        <v>0</v>
      </c>
      <c r="M1574">
        <v>0</v>
      </c>
      <c r="N1574">
        <v>0</v>
      </c>
      <c r="O1574">
        <v>0</v>
      </c>
      <c r="P1574">
        <v>0</v>
      </c>
      <c r="Q1574">
        <v>0</v>
      </c>
      <c r="R1574">
        <v>84</v>
      </c>
      <c r="S1574">
        <v>588</v>
      </c>
      <c r="T1574">
        <v>0</v>
      </c>
      <c r="V1574">
        <v>0</v>
      </c>
      <c r="W1574">
        <v>1483</v>
      </c>
    </row>
    <row r="1575" spans="1:23" x14ac:dyDescent="0.25">
      <c r="H1575">
        <v>703</v>
      </c>
    </row>
    <row r="1576" spans="1:23" x14ac:dyDescent="0.25">
      <c r="A1576">
        <v>785</v>
      </c>
      <c r="B1576">
        <v>301</v>
      </c>
      <c r="C1576" t="s">
        <v>2395</v>
      </c>
      <c r="D1576" t="s">
        <v>194</v>
      </c>
      <c r="E1576" t="s">
        <v>53</v>
      </c>
      <c r="F1576" t="s">
        <v>2396</v>
      </c>
      <c r="G1576" t="str">
        <f>"201402011682"</f>
        <v>201402011682</v>
      </c>
      <c r="H1576">
        <v>825</v>
      </c>
      <c r="I1576">
        <v>0</v>
      </c>
      <c r="J1576">
        <v>70</v>
      </c>
      <c r="K1576">
        <v>0</v>
      </c>
      <c r="L1576">
        <v>0</v>
      </c>
      <c r="M1576">
        <v>0</v>
      </c>
      <c r="N1576">
        <v>0</v>
      </c>
      <c r="O1576">
        <v>0</v>
      </c>
      <c r="P1576">
        <v>0</v>
      </c>
      <c r="Q1576">
        <v>0</v>
      </c>
      <c r="R1576">
        <v>84</v>
      </c>
      <c r="S1576">
        <v>588</v>
      </c>
      <c r="T1576">
        <v>0</v>
      </c>
      <c r="V1576">
        <v>0</v>
      </c>
      <c r="W1576">
        <v>1483</v>
      </c>
    </row>
    <row r="1577" spans="1:23" x14ac:dyDescent="0.25">
      <c r="H1577" t="s">
        <v>26</v>
      </c>
    </row>
    <row r="1578" spans="1:23" x14ac:dyDescent="0.25">
      <c r="A1578">
        <v>786</v>
      </c>
      <c r="B1578">
        <v>83</v>
      </c>
      <c r="C1578" t="s">
        <v>2397</v>
      </c>
      <c r="D1578" t="s">
        <v>2398</v>
      </c>
      <c r="E1578" t="s">
        <v>79</v>
      </c>
      <c r="F1578" t="s">
        <v>2399</v>
      </c>
      <c r="G1578" t="str">
        <f>"00145275"</f>
        <v>00145275</v>
      </c>
      <c r="H1578">
        <v>715</v>
      </c>
      <c r="I1578">
        <v>150</v>
      </c>
      <c r="J1578">
        <v>30</v>
      </c>
      <c r="K1578">
        <v>0</v>
      </c>
      <c r="L1578">
        <v>0</v>
      </c>
      <c r="M1578">
        <v>0</v>
      </c>
      <c r="N1578">
        <v>0</v>
      </c>
      <c r="O1578">
        <v>0</v>
      </c>
      <c r="P1578">
        <v>0</v>
      </c>
      <c r="Q1578">
        <v>0</v>
      </c>
      <c r="R1578">
        <v>84</v>
      </c>
      <c r="S1578">
        <v>588</v>
      </c>
      <c r="T1578">
        <v>0</v>
      </c>
      <c r="V1578">
        <v>2</v>
      </c>
      <c r="W1578">
        <v>1483</v>
      </c>
    </row>
    <row r="1579" spans="1:23" x14ac:dyDescent="0.25">
      <c r="H1579" t="s">
        <v>26</v>
      </c>
    </row>
    <row r="1580" spans="1:23" x14ac:dyDescent="0.25">
      <c r="A1580">
        <v>787</v>
      </c>
      <c r="B1580">
        <v>2835</v>
      </c>
      <c r="C1580" t="s">
        <v>504</v>
      </c>
      <c r="D1580" t="s">
        <v>15</v>
      </c>
      <c r="E1580" t="s">
        <v>33</v>
      </c>
      <c r="F1580" t="s">
        <v>2400</v>
      </c>
      <c r="G1580" t="str">
        <f>"201304004763"</f>
        <v>201304004763</v>
      </c>
      <c r="H1580" t="s">
        <v>1556</v>
      </c>
      <c r="I1580">
        <v>0</v>
      </c>
      <c r="J1580">
        <v>50</v>
      </c>
      <c r="K1580">
        <v>0</v>
      </c>
      <c r="L1580">
        <v>0</v>
      </c>
      <c r="M1580">
        <v>0</v>
      </c>
      <c r="N1580">
        <v>0</v>
      </c>
      <c r="O1580">
        <v>0</v>
      </c>
      <c r="P1580">
        <v>0</v>
      </c>
      <c r="Q1580">
        <v>0</v>
      </c>
      <c r="R1580">
        <v>84</v>
      </c>
      <c r="S1580">
        <v>588</v>
      </c>
      <c r="T1580">
        <v>0</v>
      </c>
      <c r="V1580">
        <v>0</v>
      </c>
      <c r="W1580" t="s">
        <v>2401</v>
      </c>
    </row>
    <row r="1581" spans="1:23" x14ac:dyDescent="0.25">
      <c r="H1581">
        <v>703</v>
      </c>
    </row>
    <row r="1582" spans="1:23" x14ac:dyDescent="0.25">
      <c r="A1582">
        <v>788</v>
      </c>
      <c r="B1582">
        <v>835</v>
      </c>
      <c r="C1582" t="s">
        <v>2402</v>
      </c>
      <c r="D1582" t="s">
        <v>112</v>
      </c>
      <c r="E1582" t="s">
        <v>1273</v>
      </c>
      <c r="F1582" t="s">
        <v>2403</v>
      </c>
      <c r="G1582" t="str">
        <f>"201411001743"</f>
        <v>201411001743</v>
      </c>
      <c r="H1582" t="s">
        <v>1420</v>
      </c>
      <c r="I1582">
        <v>0</v>
      </c>
      <c r="J1582">
        <v>30</v>
      </c>
      <c r="K1582">
        <v>0</v>
      </c>
      <c r="L1582">
        <v>0</v>
      </c>
      <c r="M1582">
        <v>0</v>
      </c>
      <c r="N1582">
        <v>0</v>
      </c>
      <c r="O1582">
        <v>0</v>
      </c>
      <c r="P1582">
        <v>0</v>
      </c>
      <c r="Q1582">
        <v>0</v>
      </c>
      <c r="R1582">
        <v>84</v>
      </c>
      <c r="S1582">
        <v>588</v>
      </c>
      <c r="T1582">
        <v>0</v>
      </c>
      <c r="V1582">
        <v>0</v>
      </c>
      <c r="W1582" t="s">
        <v>2404</v>
      </c>
    </row>
    <row r="1583" spans="1:23" x14ac:dyDescent="0.25">
      <c r="H1583" t="s">
        <v>70</v>
      </c>
    </row>
    <row r="1584" spans="1:23" x14ac:dyDescent="0.25">
      <c r="A1584">
        <v>789</v>
      </c>
      <c r="B1584">
        <v>1463</v>
      </c>
      <c r="C1584" t="s">
        <v>2405</v>
      </c>
      <c r="D1584" t="s">
        <v>248</v>
      </c>
      <c r="E1584" t="s">
        <v>91</v>
      </c>
      <c r="F1584" t="s">
        <v>2406</v>
      </c>
      <c r="G1584" t="str">
        <f>"00226958"</f>
        <v>00226958</v>
      </c>
      <c r="H1584" t="s">
        <v>800</v>
      </c>
      <c r="I1584">
        <v>0</v>
      </c>
      <c r="J1584">
        <v>0</v>
      </c>
      <c r="K1584">
        <v>0</v>
      </c>
      <c r="L1584">
        <v>0</v>
      </c>
      <c r="M1584">
        <v>0</v>
      </c>
      <c r="N1584">
        <v>0</v>
      </c>
      <c r="O1584">
        <v>0</v>
      </c>
      <c r="P1584">
        <v>0</v>
      </c>
      <c r="Q1584">
        <v>0</v>
      </c>
      <c r="R1584">
        <v>84</v>
      </c>
      <c r="S1584">
        <v>588</v>
      </c>
      <c r="T1584">
        <v>0</v>
      </c>
      <c r="V1584">
        <v>0</v>
      </c>
      <c r="W1584" t="s">
        <v>2407</v>
      </c>
    </row>
    <row r="1585" spans="1:23" x14ac:dyDescent="0.25">
      <c r="H1585">
        <v>703</v>
      </c>
    </row>
    <row r="1586" spans="1:23" x14ac:dyDescent="0.25">
      <c r="A1586">
        <v>790</v>
      </c>
      <c r="B1586">
        <v>453</v>
      </c>
      <c r="C1586" t="s">
        <v>2408</v>
      </c>
      <c r="D1586" t="s">
        <v>140</v>
      </c>
      <c r="E1586" t="s">
        <v>76</v>
      </c>
      <c r="F1586" t="s">
        <v>2409</v>
      </c>
      <c r="G1586" t="str">
        <f>"200801004772"</f>
        <v>200801004772</v>
      </c>
      <c r="H1586">
        <v>1045</v>
      </c>
      <c r="I1586">
        <v>150</v>
      </c>
      <c r="J1586">
        <v>0</v>
      </c>
      <c r="K1586">
        <v>0</v>
      </c>
      <c r="L1586">
        <v>0</v>
      </c>
      <c r="M1586">
        <v>0</v>
      </c>
      <c r="N1586">
        <v>0</v>
      </c>
      <c r="O1586">
        <v>0</v>
      </c>
      <c r="P1586">
        <v>0</v>
      </c>
      <c r="Q1586">
        <v>0</v>
      </c>
      <c r="R1586">
        <v>41</v>
      </c>
      <c r="S1586">
        <v>287</v>
      </c>
      <c r="T1586">
        <v>0</v>
      </c>
      <c r="V1586">
        <v>0</v>
      </c>
      <c r="W1586">
        <v>1482</v>
      </c>
    </row>
    <row r="1587" spans="1:23" x14ac:dyDescent="0.25">
      <c r="H1587" t="s">
        <v>26</v>
      </c>
    </row>
    <row r="1588" spans="1:23" x14ac:dyDescent="0.25">
      <c r="A1588">
        <v>791</v>
      </c>
      <c r="B1588">
        <v>1339</v>
      </c>
      <c r="C1588" t="s">
        <v>2410</v>
      </c>
      <c r="D1588" t="s">
        <v>2411</v>
      </c>
      <c r="E1588" t="s">
        <v>15</v>
      </c>
      <c r="F1588" t="s">
        <v>2412</v>
      </c>
      <c r="G1588" t="str">
        <f>"201304005991"</f>
        <v>201304005991</v>
      </c>
      <c r="H1588" t="s">
        <v>840</v>
      </c>
      <c r="I1588">
        <v>0</v>
      </c>
      <c r="J1588">
        <v>70</v>
      </c>
      <c r="K1588">
        <v>0</v>
      </c>
      <c r="L1588">
        <v>0</v>
      </c>
      <c r="M1588">
        <v>30</v>
      </c>
      <c r="N1588">
        <v>50</v>
      </c>
      <c r="O1588">
        <v>0</v>
      </c>
      <c r="P1588">
        <v>0</v>
      </c>
      <c r="Q1588">
        <v>0</v>
      </c>
      <c r="R1588">
        <v>59</v>
      </c>
      <c r="S1588">
        <v>413</v>
      </c>
      <c r="T1588">
        <v>0</v>
      </c>
      <c r="V1588">
        <v>0</v>
      </c>
      <c r="W1588" t="s">
        <v>2413</v>
      </c>
    </row>
    <row r="1589" spans="1:23" x14ac:dyDescent="0.25">
      <c r="H1589" t="s">
        <v>70</v>
      </c>
    </row>
    <row r="1590" spans="1:23" x14ac:dyDescent="0.25">
      <c r="A1590">
        <v>792</v>
      </c>
      <c r="B1590">
        <v>603</v>
      </c>
      <c r="C1590" t="s">
        <v>2132</v>
      </c>
      <c r="D1590" t="s">
        <v>1815</v>
      </c>
      <c r="E1590" t="s">
        <v>15</v>
      </c>
      <c r="F1590" t="s">
        <v>2414</v>
      </c>
      <c r="G1590" t="str">
        <f>"00228538"</f>
        <v>00228538</v>
      </c>
      <c r="H1590" t="s">
        <v>2186</v>
      </c>
      <c r="I1590">
        <v>0</v>
      </c>
      <c r="J1590">
        <v>30</v>
      </c>
      <c r="K1590">
        <v>0</v>
      </c>
      <c r="L1590">
        <v>0</v>
      </c>
      <c r="M1590">
        <v>0</v>
      </c>
      <c r="N1590">
        <v>0</v>
      </c>
      <c r="O1590">
        <v>0</v>
      </c>
      <c r="P1590">
        <v>0</v>
      </c>
      <c r="Q1590">
        <v>0</v>
      </c>
      <c r="R1590">
        <v>84</v>
      </c>
      <c r="S1590">
        <v>588</v>
      </c>
      <c r="T1590">
        <v>0</v>
      </c>
      <c r="V1590">
        <v>0</v>
      </c>
      <c r="W1590" t="s">
        <v>2413</v>
      </c>
    </row>
    <row r="1591" spans="1:23" x14ac:dyDescent="0.25">
      <c r="H1591">
        <v>703</v>
      </c>
    </row>
    <row r="1592" spans="1:23" x14ac:dyDescent="0.25">
      <c r="A1592">
        <v>793</v>
      </c>
      <c r="B1592">
        <v>2694</v>
      </c>
      <c r="C1592" t="s">
        <v>2415</v>
      </c>
      <c r="D1592" t="s">
        <v>273</v>
      </c>
      <c r="E1592" t="s">
        <v>1134</v>
      </c>
      <c r="F1592" t="s">
        <v>2416</v>
      </c>
      <c r="G1592" t="str">
        <f>"00140986"</f>
        <v>00140986</v>
      </c>
      <c r="H1592">
        <v>968</v>
      </c>
      <c r="I1592">
        <v>0</v>
      </c>
      <c r="J1592">
        <v>30</v>
      </c>
      <c r="K1592">
        <v>0</v>
      </c>
      <c r="L1592">
        <v>0</v>
      </c>
      <c r="M1592">
        <v>0</v>
      </c>
      <c r="N1592">
        <v>0</v>
      </c>
      <c r="O1592">
        <v>0</v>
      </c>
      <c r="P1592">
        <v>0</v>
      </c>
      <c r="Q1592">
        <v>0</v>
      </c>
      <c r="R1592">
        <v>69</v>
      </c>
      <c r="S1592">
        <v>483</v>
      </c>
      <c r="T1592">
        <v>0</v>
      </c>
      <c r="V1592">
        <v>0</v>
      </c>
      <c r="W1592">
        <v>1481</v>
      </c>
    </row>
    <row r="1593" spans="1:23" x14ac:dyDescent="0.25">
      <c r="H1593">
        <v>703</v>
      </c>
    </row>
    <row r="1594" spans="1:23" x14ac:dyDescent="0.25">
      <c r="A1594">
        <v>794</v>
      </c>
      <c r="B1594">
        <v>564</v>
      </c>
      <c r="C1594" t="s">
        <v>2417</v>
      </c>
      <c r="D1594" t="s">
        <v>105</v>
      </c>
      <c r="E1594" t="s">
        <v>129</v>
      </c>
      <c r="F1594" t="s">
        <v>2418</v>
      </c>
      <c r="G1594" t="str">
        <f>"201511042415"</f>
        <v>201511042415</v>
      </c>
      <c r="H1594" t="s">
        <v>2419</v>
      </c>
      <c r="I1594">
        <v>150</v>
      </c>
      <c r="J1594">
        <v>0</v>
      </c>
      <c r="K1594">
        <v>0</v>
      </c>
      <c r="L1594">
        <v>0</v>
      </c>
      <c r="M1594">
        <v>0</v>
      </c>
      <c r="N1594">
        <v>0</v>
      </c>
      <c r="O1594">
        <v>0</v>
      </c>
      <c r="P1594">
        <v>0</v>
      </c>
      <c r="Q1594">
        <v>0</v>
      </c>
      <c r="R1594">
        <v>84</v>
      </c>
      <c r="S1594">
        <v>588</v>
      </c>
      <c r="T1594">
        <v>0</v>
      </c>
      <c r="V1594">
        <v>0</v>
      </c>
      <c r="W1594" t="s">
        <v>2420</v>
      </c>
    </row>
    <row r="1595" spans="1:23" x14ac:dyDescent="0.25">
      <c r="H1595">
        <v>703</v>
      </c>
    </row>
    <row r="1596" spans="1:23" x14ac:dyDescent="0.25">
      <c r="A1596">
        <v>795</v>
      </c>
      <c r="B1596">
        <v>751</v>
      </c>
      <c r="C1596" t="s">
        <v>808</v>
      </c>
      <c r="D1596" t="s">
        <v>2421</v>
      </c>
      <c r="E1596" t="s">
        <v>53</v>
      </c>
      <c r="F1596" t="s">
        <v>2422</v>
      </c>
      <c r="G1596" t="str">
        <f>"201303000160"</f>
        <v>201303000160</v>
      </c>
      <c r="H1596">
        <v>1078</v>
      </c>
      <c r="I1596">
        <v>0</v>
      </c>
      <c r="J1596">
        <v>70</v>
      </c>
      <c r="K1596">
        <v>30</v>
      </c>
      <c r="L1596">
        <v>0</v>
      </c>
      <c r="M1596">
        <v>0</v>
      </c>
      <c r="N1596">
        <v>0</v>
      </c>
      <c r="O1596">
        <v>0</v>
      </c>
      <c r="P1596">
        <v>0</v>
      </c>
      <c r="Q1596">
        <v>0</v>
      </c>
      <c r="R1596">
        <v>43</v>
      </c>
      <c r="S1596">
        <v>301</v>
      </c>
      <c r="T1596">
        <v>0</v>
      </c>
      <c r="V1596">
        <v>0</v>
      </c>
      <c r="W1596">
        <v>1479</v>
      </c>
    </row>
    <row r="1597" spans="1:23" x14ac:dyDescent="0.25">
      <c r="H1597" t="s">
        <v>26</v>
      </c>
    </row>
    <row r="1598" spans="1:23" x14ac:dyDescent="0.25">
      <c r="A1598">
        <v>796</v>
      </c>
      <c r="B1598">
        <v>761</v>
      </c>
      <c r="C1598" t="s">
        <v>2423</v>
      </c>
      <c r="D1598" t="s">
        <v>1338</v>
      </c>
      <c r="E1598" t="s">
        <v>41</v>
      </c>
      <c r="F1598" t="s">
        <v>2424</v>
      </c>
      <c r="G1598" t="str">
        <f>"00172678"</f>
        <v>00172678</v>
      </c>
      <c r="H1598">
        <v>891</v>
      </c>
      <c r="I1598">
        <v>0</v>
      </c>
      <c r="J1598">
        <v>0</v>
      </c>
      <c r="K1598">
        <v>0</v>
      </c>
      <c r="L1598">
        <v>0</v>
      </c>
      <c r="M1598">
        <v>0</v>
      </c>
      <c r="N1598">
        <v>0</v>
      </c>
      <c r="O1598">
        <v>0</v>
      </c>
      <c r="P1598">
        <v>0</v>
      </c>
      <c r="Q1598">
        <v>0</v>
      </c>
      <c r="R1598">
        <v>84</v>
      </c>
      <c r="S1598">
        <v>588</v>
      </c>
      <c r="T1598">
        <v>0</v>
      </c>
      <c r="V1598">
        <v>0</v>
      </c>
      <c r="W1598">
        <v>1479</v>
      </c>
    </row>
    <row r="1599" spans="1:23" x14ac:dyDescent="0.25">
      <c r="H1599">
        <v>703</v>
      </c>
    </row>
    <row r="1600" spans="1:23" x14ac:dyDescent="0.25">
      <c r="A1600">
        <v>797</v>
      </c>
      <c r="B1600">
        <v>2157</v>
      </c>
      <c r="C1600" t="s">
        <v>2425</v>
      </c>
      <c r="D1600" t="s">
        <v>20</v>
      </c>
      <c r="E1600" t="s">
        <v>91</v>
      </c>
      <c r="F1600" t="s">
        <v>2426</v>
      </c>
      <c r="G1600" t="str">
        <f>"200807000163"</f>
        <v>200807000163</v>
      </c>
      <c r="H1600">
        <v>990</v>
      </c>
      <c r="I1600">
        <v>150</v>
      </c>
      <c r="J1600">
        <v>30</v>
      </c>
      <c r="K1600">
        <v>0</v>
      </c>
      <c r="L1600">
        <v>0</v>
      </c>
      <c r="M1600">
        <v>0</v>
      </c>
      <c r="N1600">
        <v>0</v>
      </c>
      <c r="O1600">
        <v>0</v>
      </c>
      <c r="P1600">
        <v>0</v>
      </c>
      <c r="Q1600">
        <v>0</v>
      </c>
      <c r="R1600">
        <v>44</v>
      </c>
      <c r="S1600">
        <v>308</v>
      </c>
      <c r="T1600">
        <v>0</v>
      </c>
      <c r="V1600">
        <v>0</v>
      </c>
      <c r="W1600">
        <v>1478</v>
      </c>
    </row>
    <row r="1601" spans="1:23" x14ac:dyDescent="0.25">
      <c r="H1601" t="s">
        <v>2427</v>
      </c>
    </row>
    <row r="1602" spans="1:23" x14ac:dyDescent="0.25">
      <c r="A1602">
        <v>798</v>
      </c>
      <c r="B1602">
        <v>1049</v>
      </c>
      <c r="C1602" t="s">
        <v>940</v>
      </c>
      <c r="D1602" t="s">
        <v>697</v>
      </c>
      <c r="E1602" t="s">
        <v>21</v>
      </c>
      <c r="F1602" t="s">
        <v>2428</v>
      </c>
      <c r="G1602" t="str">
        <f>"201406000883"</f>
        <v>201406000883</v>
      </c>
      <c r="H1602">
        <v>957</v>
      </c>
      <c r="I1602">
        <v>0</v>
      </c>
      <c r="J1602">
        <v>30</v>
      </c>
      <c r="K1602">
        <v>0</v>
      </c>
      <c r="L1602">
        <v>0</v>
      </c>
      <c r="M1602">
        <v>50</v>
      </c>
      <c r="N1602">
        <v>0</v>
      </c>
      <c r="O1602">
        <v>0</v>
      </c>
      <c r="P1602">
        <v>0</v>
      </c>
      <c r="Q1602">
        <v>0</v>
      </c>
      <c r="R1602">
        <v>63</v>
      </c>
      <c r="S1602">
        <v>441</v>
      </c>
      <c r="T1602">
        <v>0</v>
      </c>
      <c r="V1602">
        <v>0</v>
      </c>
      <c r="W1602">
        <v>1478</v>
      </c>
    </row>
    <row r="1603" spans="1:23" x14ac:dyDescent="0.25">
      <c r="H1603" t="s">
        <v>70</v>
      </c>
    </row>
    <row r="1604" spans="1:23" x14ac:dyDescent="0.25">
      <c r="A1604">
        <v>799</v>
      </c>
      <c r="B1604">
        <v>738</v>
      </c>
      <c r="C1604" t="s">
        <v>2429</v>
      </c>
      <c r="D1604" t="s">
        <v>76</v>
      </c>
      <c r="E1604" t="s">
        <v>53</v>
      </c>
      <c r="F1604" t="s">
        <v>2430</v>
      </c>
      <c r="G1604" t="str">
        <f>"201402004087"</f>
        <v>201402004087</v>
      </c>
      <c r="H1604" t="s">
        <v>2431</v>
      </c>
      <c r="I1604">
        <v>150</v>
      </c>
      <c r="J1604">
        <v>30</v>
      </c>
      <c r="K1604">
        <v>0</v>
      </c>
      <c r="L1604">
        <v>0</v>
      </c>
      <c r="M1604">
        <v>0</v>
      </c>
      <c r="N1604">
        <v>0</v>
      </c>
      <c r="O1604">
        <v>0</v>
      </c>
      <c r="P1604">
        <v>0</v>
      </c>
      <c r="Q1604">
        <v>0</v>
      </c>
      <c r="R1604">
        <v>84</v>
      </c>
      <c r="S1604">
        <v>588</v>
      </c>
      <c r="T1604">
        <v>0</v>
      </c>
      <c r="V1604">
        <v>0</v>
      </c>
      <c r="W1604" t="s">
        <v>2432</v>
      </c>
    </row>
    <row r="1605" spans="1:23" x14ac:dyDescent="0.25">
      <c r="H1605">
        <v>703</v>
      </c>
    </row>
    <row r="1606" spans="1:23" x14ac:dyDescent="0.25">
      <c r="A1606">
        <v>800</v>
      </c>
      <c r="B1606">
        <v>696</v>
      </c>
      <c r="C1606" t="s">
        <v>2433</v>
      </c>
      <c r="D1606" t="s">
        <v>273</v>
      </c>
      <c r="E1606" t="s">
        <v>47</v>
      </c>
      <c r="F1606" t="s">
        <v>2434</v>
      </c>
      <c r="G1606" t="str">
        <f>"00230044"</f>
        <v>00230044</v>
      </c>
      <c r="H1606" t="s">
        <v>2431</v>
      </c>
      <c r="I1606">
        <v>150</v>
      </c>
      <c r="J1606">
        <v>30</v>
      </c>
      <c r="K1606">
        <v>0</v>
      </c>
      <c r="L1606">
        <v>0</v>
      </c>
      <c r="M1606">
        <v>0</v>
      </c>
      <c r="N1606">
        <v>0</v>
      </c>
      <c r="O1606">
        <v>0</v>
      </c>
      <c r="P1606">
        <v>0</v>
      </c>
      <c r="Q1606">
        <v>0</v>
      </c>
      <c r="R1606">
        <v>84</v>
      </c>
      <c r="S1606">
        <v>588</v>
      </c>
      <c r="T1606">
        <v>0</v>
      </c>
      <c r="V1606">
        <v>0</v>
      </c>
      <c r="W1606" t="s">
        <v>2432</v>
      </c>
    </row>
    <row r="1607" spans="1:23" x14ac:dyDescent="0.25">
      <c r="H1607">
        <v>703</v>
      </c>
    </row>
    <row r="1608" spans="1:23" x14ac:dyDescent="0.25">
      <c r="A1608">
        <v>801</v>
      </c>
      <c r="B1608">
        <v>529</v>
      </c>
      <c r="C1608" t="s">
        <v>2435</v>
      </c>
      <c r="D1608" t="s">
        <v>248</v>
      </c>
      <c r="E1608" t="s">
        <v>53</v>
      </c>
      <c r="F1608" t="s">
        <v>2436</v>
      </c>
      <c r="G1608" t="str">
        <f>"200908000068"</f>
        <v>200908000068</v>
      </c>
      <c r="H1608" t="s">
        <v>2437</v>
      </c>
      <c r="I1608">
        <v>0</v>
      </c>
      <c r="J1608">
        <v>50</v>
      </c>
      <c r="K1608">
        <v>0</v>
      </c>
      <c r="L1608">
        <v>0</v>
      </c>
      <c r="M1608">
        <v>0</v>
      </c>
      <c r="N1608">
        <v>0</v>
      </c>
      <c r="O1608">
        <v>0</v>
      </c>
      <c r="P1608">
        <v>0</v>
      </c>
      <c r="Q1608">
        <v>0</v>
      </c>
      <c r="R1608">
        <v>84</v>
      </c>
      <c r="S1608">
        <v>588</v>
      </c>
      <c r="T1608">
        <v>0</v>
      </c>
      <c r="V1608">
        <v>2</v>
      </c>
      <c r="W1608" t="s">
        <v>2438</v>
      </c>
    </row>
    <row r="1609" spans="1:23" x14ac:dyDescent="0.25">
      <c r="H1609" t="s">
        <v>26</v>
      </c>
    </row>
    <row r="1610" spans="1:23" x14ac:dyDescent="0.25">
      <c r="A1610">
        <v>802</v>
      </c>
      <c r="B1610">
        <v>1763</v>
      </c>
      <c r="C1610" t="s">
        <v>2439</v>
      </c>
      <c r="D1610" t="s">
        <v>2336</v>
      </c>
      <c r="E1610" t="s">
        <v>58</v>
      </c>
      <c r="F1610" t="s">
        <v>2440</v>
      </c>
      <c r="G1610" t="str">
        <f>"201304001068"</f>
        <v>201304001068</v>
      </c>
      <c r="H1610" t="s">
        <v>2309</v>
      </c>
      <c r="I1610">
        <v>0</v>
      </c>
      <c r="J1610">
        <v>30</v>
      </c>
      <c r="K1610">
        <v>0</v>
      </c>
      <c r="L1610">
        <v>0</v>
      </c>
      <c r="M1610">
        <v>0</v>
      </c>
      <c r="N1610">
        <v>0</v>
      </c>
      <c r="O1610">
        <v>0</v>
      </c>
      <c r="P1610">
        <v>0</v>
      </c>
      <c r="Q1610">
        <v>0</v>
      </c>
      <c r="R1610">
        <v>84</v>
      </c>
      <c r="S1610">
        <v>588</v>
      </c>
      <c r="T1610">
        <v>0</v>
      </c>
      <c r="V1610">
        <v>2</v>
      </c>
      <c r="W1610" t="s">
        <v>2441</v>
      </c>
    </row>
    <row r="1611" spans="1:23" x14ac:dyDescent="0.25">
      <c r="H1611" t="s">
        <v>70</v>
      </c>
    </row>
    <row r="1612" spans="1:23" x14ac:dyDescent="0.25">
      <c r="A1612">
        <v>803</v>
      </c>
      <c r="B1612">
        <v>1585</v>
      </c>
      <c r="C1612" t="s">
        <v>2442</v>
      </c>
      <c r="D1612" t="s">
        <v>2443</v>
      </c>
      <c r="E1612" t="s">
        <v>2444</v>
      </c>
      <c r="F1612" t="s">
        <v>2445</v>
      </c>
      <c r="G1612" t="str">
        <f>"00221211"</f>
        <v>00221211</v>
      </c>
      <c r="H1612">
        <v>858</v>
      </c>
      <c r="I1612">
        <v>0</v>
      </c>
      <c r="J1612">
        <v>30</v>
      </c>
      <c r="K1612">
        <v>0</v>
      </c>
      <c r="L1612">
        <v>0</v>
      </c>
      <c r="M1612">
        <v>0</v>
      </c>
      <c r="N1612">
        <v>0</v>
      </c>
      <c r="O1612">
        <v>0</v>
      </c>
      <c r="P1612">
        <v>0</v>
      </c>
      <c r="Q1612">
        <v>0</v>
      </c>
      <c r="R1612">
        <v>84</v>
      </c>
      <c r="S1612">
        <v>588</v>
      </c>
      <c r="T1612">
        <v>0</v>
      </c>
      <c r="V1612">
        <v>0</v>
      </c>
      <c r="W1612">
        <v>1476</v>
      </c>
    </row>
    <row r="1613" spans="1:23" x14ac:dyDescent="0.25">
      <c r="H1613">
        <v>703</v>
      </c>
    </row>
    <row r="1614" spans="1:23" x14ac:dyDescent="0.25">
      <c r="A1614">
        <v>804</v>
      </c>
      <c r="B1614">
        <v>1966</v>
      </c>
      <c r="C1614" t="s">
        <v>35</v>
      </c>
      <c r="D1614" t="s">
        <v>404</v>
      </c>
      <c r="E1614" t="s">
        <v>37</v>
      </c>
      <c r="F1614" t="s">
        <v>2446</v>
      </c>
      <c r="G1614" t="str">
        <f>"00223600"</f>
        <v>00223600</v>
      </c>
      <c r="H1614">
        <v>858</v>
      </c>
      <c r="I1614">
        <v>0</v>
      </c>
      <c r="J1614">
        <v>30</v>
      </c>
      <c r="K1614">
        <v>0</v>
      </c>
      <c r="L1614">
        <v>0</v>
      </c>
      <c r="M1614">
        <v>0</v>
      </c>
      <c r="N1614">
        <v>0</v>
      </c>
      <c r="O1614">
        <v>0</v>
      </c>
      <c r="P1614">
        <v>0</v>
      </c>
      <c r="Q1614">
        <v>0</v>
      </c>
      <c r="R1614">
        <v>84</v>
      </c>
      <c r="S1614">
        <v>588</v>
      </c>
      <c r="T1614">
        <v>0</v>
      </c>
      <c r="V1614">
        <v>0</v>
      </c>
      <c r="W1614">
        <v>1476</v>
      </c>
    </row>
    <row r="1615" spans="1:23" x14ac:dyDescent="0.25">
      <c r="H1615">
        <v>703</v>
      </c>
    </row>
    <row r="1616" spans="1:23" x14ac:dyDescent="0.25">
      <c r="A1616">
        <v>805</v>
      </c>
      <c r="B1616">
        <v>1314</v>
      </c>
      <c r="C1616" t="s">
        <v>2447</v>
      </c>
      <c r="D1616" t="s">
        <v>2448</v>
      </c>
      <c r="E1616" t="s">
        <v>53</v>
      </c>
      <c r="F1616" t="s">
        <v>2449</v>
      </c>
      <c r="G1616" t="str">
        <f>"201001000241"</f>
        <v>201001000241</v>
      </c>
      <c r="H1616">
        <v>792</v>
      </c>
      <c r="I1616">
        <v>150</v>
      </c>
      <c r="J1616">
        <v>30</v>
      </c>
      <c r="K1616">
        <v>0</v>
      </c>
      <c r="L1616">
        <v>0</v>
      </c>
      <c r="M1616">
        <v>0</v>
      </c>
      <c r="N1616">
        <v>0</v>
      </c>
      <c r="O1616">
        <v>0</v>
      </c>
      <c r="P1616">
        <v>0</v>
      </c>
      <c r="Q1616">
        <v>0</v>
      </c>
      <c r="R1616">
        <v>72</v>
      </c>
      <c r="S1616">
        <v>504</v>
      </c>
      <c r="T1616">
        <v>0</v>
      </c>
      <c r="V1616">
        <v>1</v>
      </c>
      <c r="W1616">
        <v>1476</v>
      </c>
    </row>
    <row r="1617" spans="1:23" x14ac:dyDescent="0.25">
      <c r="H1617" t="s">
        <v>26</v>
      </c>
    </row>
    <row r="1618" spans="1:23" x14ac:dyDescent="0.25">
      <c r="A1618">
        <v>806</v>
      </c>
      <c r="B1618">
        <v>2153</v>
      </c>
      <c r="C1618" t="s">
        <v>2450</v>
      </c>
      <c r="D1618" t="s">
        <v>344</v>
      </c>
      <c r="E1618" t="s">
        <v>53</v>
      </c>
      <c r="F1618" t="s">
        <v>2451</v>
      </c>
      <c r="G1618" t="str">
        <f>"00161218"</f>
        <v>00161218</v>
      </c>
      <c r="H1618" t="s">
        <v>978</v>
      </c>
      <c r="I1618">
        <v>0</v>
      </c>
      <c r="J1618">
        <v>0</v>
      </c>
      <c r="K1618">
        <v>0</v>
      </c>
      <c r="L1618">
        <v>0</v>
      </c>
      <c r="M1618">
        <v>0</v>
      </c>
      <c r="N1618">
        <v>0</v>
      </c>
      <c r="O1618">
        <v>0</v>
      </c>
      <c r="P1618">
        <v>0</v>
      </c>
      <c r="Q1618">
        <v>0</v>
      </c>
      <c r="R1618">
        <v>84</v>
      </c>
      <c r="S1618">
        <v>588</v>
      </c>
      <c r="T1618">
        <v>0</v>
      </c>
      <c r="V1618">
        <v>0</v>
      </c>
      <c r="W1618" t="s">
        <v>2452</v>
      </c>
    </row>
    <row r="1619" spans="1:23" x14ac:dyDescent="0.25">
      <c r="H1619">
        <v>703</v>
      </c>
    </row>
    <row r="1620" spans="1:23" x14ac:dyDescent="0.25">
      <c r="A1620">
        <v>807</v>
      </c>
      <c r="B1620">
        <v>1549</v>
      </c>
      <c r="C1620" t="s">
        <v>2453</v>
      </c>
      <c r="D1620" t="s">
        <v>629</v>
      </c>
      <c r="E1620" t="s">
        <v>2454</v>
      </c>
      <c r="F1620" t="s">
        <v>2455</v>
      </c>
      <c r="G1620" t="str">
        <f>"00143154"</f>
        <v>00143154</v>
      </c>
      <c r="H1620" t="s">
        <v>446</v>
      </c>
      <c r="I1620">
        <v>150</v>
      </c>
      <c r="J1620">
        <v>30</v>
      </c>
      <c r="K1620">
        <v>0</v>
      </c>
      <c r="L1620">
        <v>0</v>
      </c>
      <c r="M1620">
        <v>0</v>
      </c>
      <c r="N1620">
        <v>0</v>
      </c>
      <c r="O1620">
        <v>0</v>
      </c>
      <c r="P1620">
        <v>0</v>
      </c>
      <c r="Q1620">
        <v>0</v>
      </c>
      <c r="R1620">
        <v>47</v>
      </c>
      <c r="S1620">
        <v>329</v>
      </c>
      <c r="T1620">
        <v>0</v>
      </c>
      <c r="V1620">
        <v>0</v>
      </c>
      <c r="W1620" t="s">
        <v>2456</v>
      </c>
    </row>
    <row r="1621" spans="1:23" x14ac:dyDescent="0.25">
      <c r="H1621">
        <v>703</v>
      </c>
    </row>
    <row r="1622" spans="1:23" x14ac:dyDescent="0.25">
      <c r="A1622">
        <v>808</v>
      </c>
      <c r="B1622">
        <v>1498</v>
      </c>
      <c r="C1622" t="s">
        <v>2457</v>
      </c>
      <c r="D1622" t="s">
        <v>722</v>
      </c>
      <c r="E1622" t="s">
        <v>41</v>
      </c>
      <c r="F1622" t="s">
        <v>2458</v>
      </c>
      <c r="G1622" t="str">
        <f>"00140917"</f>
        <v>00140917</v>
      </c>
      <c r="H1622" t="s">
        <v>1212</v>
      </c>
      <c r="I1622">
        <v>150</v>
      </c>
      <c r="J1622">
        <v>0</v>
      </c>
      <c r="K1622">
        <v>70</v>
      </c>
      <c r="L1622">
        <v>0</v>
      </c>
      <c r="M1622">
        <v>0</v>
      </c>
      <c r="N1622">
        <v>0</v>
      </c>
      <c r="O1622">
        <v>0</v>
      </c>
      <c r="P1622">
        <v>0</v>
      </c>
      <c r="Q1622">
        <v>0</v>
      </c>
      <c r="R1622">
        <v>62</v>
      </c>
      <c r="S1622">
        <v>434</v>
      </c>
      <c r="T1622">
        <v>0</v>
      </c>
      <c r="V1622">
        <v>0</v>
      </c>
      <c r="W1622" t="s">
        <v>2459</v>
      </c>
    </row>
    <row r="1623" spans="1:23" x14ac:dyDescent="0.25">
      <c r="H1623">
        <v>703</v>
      </c>
    </row>
    <row r="1624" spans="1:23" x14ac:dyDescent="0.25">
      <c r="A1624">
        <v>809</v>
      </c>
      <c r="B1624">
        <v>483</v>
      </c>
      <c r="C1624" t="s">
        <v>1156</v>
      </c>
      <c r="D1624" t="s">
        <v>36</v>
      </c>
      <c r="E1624" t="s">
        <v>251</v>
      </c>
      <c r="F1624" t="s">
        <v>2460</v>
      </c>
      <c r="G1624" t="str">
        <f>"00017678"</f>
        <v>00017678</v>
      </c>
      <c r="H1624" t="s">
        <v>1690</v>
      </c>
      <c r="I1624">
        <v>0</v>
      </c>
      <c r="J1624">
        <v>30</v>
      </c>
      <c r="K1624">
        <v>0</v>
      </c>
      <c r="L1624">
        <v>0</v>
      </c>
      <c r="M1624">
        <v>0</v>
      </c>
      <c r="N1624">
        <v>0</v>
      </c>
      <c r="O1624">
        <v>0</v>
      </c>
      <c r="P1624">
        <v>0</v>
      </c>
      <c r="Q1624">
        <v>0</v>
      </c>
      <c r="R1624">
        <v>84</v>
      </c>
      <c r="S1624">
        <v>588</v>
      </c>
      <c r="T1624">
        <v>0</v>
      </c>
      <c r="V1624">
        <v>0</v>
      </c>
      <c r="W1624" t="s">
        <v>2461</v>
      </c>
    </row>
    <row r="1625" spans="1:23" x14ac:dyDescent="0.25">
      <c r="H1625" t="s">
        <v>70</v>
      </c>
    </row>
    <row r="1626" spans="1:23" x14ac:dyDescent="0.25">
      <c r="A1626">
        <v>810</v>
      </c>
      <c r="B1626">
        <v>260</v>
      </c>
      <c r="C1626" t="s">
        <v>2462</v>
      </c>
      <c r="D1626" t="s">
        <v>1147</v>
      </c>
      <c r="E1626" t="s">
        <v>76</v>
      </c>
      <c r="F1626" t="s">
        <v>2463</v>
      </c>
      <c r="G1626" t="str">
        <f>"201405002264"</f>
        <v>201405002264</v>
      </c>
      <c r="H1626" t="s">
        <v>101</v>
      </c>
      <c r="I1626">
        <v>150</v>
      </c>
      <c r="J1626">
        <v>50</v>
      </c>
      <c r="K1626">
        <v>0</v>
      </c>
      <c r="L1626">
        <v>0</v>
      </c>
      <c r="M1626">
        <v>0</v>
      </c>
      <c r="N1626">
        <v>0</v>
      </c>
      <c r="O1626">
        <v>0</v>
      </c>
      <c r="P1626">
        <v>0</v>
      </c>
      <c r="Q1626">
        <v>0</v>
      </c>
      <c r="R1626">
        <v>30</v>
      </c>
      <c r="S1626">
        <v>210</v>
      </c>
      <c r="T1626">
        <v>0</v>
      </c>
      <c r="V1626">
        <v>0</v>
      </c>
      <c r="W1626" t="s">
        <v>2464</v>
      </c>
    </row>
    <row r="1627" spans="1:23" x14ac:dyDescent="0.25">
      <c r="H1627">
        <v>703</v>
      </c>
    </row>
    <row r="1628" spans="1:23" x14ac:dyDescent="0.25">
      <c r="A1628">
        <v>811</v>
      </c>
      <c r="B1628">
        <v>3072</v>
      </c>
      <c r="C1628" t="s">
        <v>2465</v>
      </c>
      <c r="D1628" t="s">
        <v>2466</v>
      </c>
      <c r="E1628" t="s">
        <v>523</v>
      </c>
      <c r="F1628" t="s">
        <v>2467</v>
      </c>
      <c r="G1628" t="str">
        <f>"201405001092"</f>
        <v>201405001092</v>
      </c>
      <c r="H1628" t="s">
        <v>958</v>
      </c>
      <c r="I1628">
        <v>0</v>
      </c>
      <c r="J1628">
        <v>30</v>
      </c>
      <c r="K1628">
        <v>0</v>
      </c>
      <c r="L1628">
        <v>0</v>
      </c>
      <c r="M1628">
        <v>0</v>
      </c>
      <c r="N1628">
        <v>0</v>
      </c>
      <c r="O1628">
        <v>0</v>
      </c>
      <c r="P1628">
        <v>0</v>
      </c>
      <c r="Q1628">
        <v>0</v>
      </c>
      <c r="R1628">
        <v>59</v>
      </c>
      <c r="S1628">
        <v>413</v>
      </c>
      <c r="T1628">
        <v>0</v>
      </c>
      <c r="V1628">
        <v>2</v>
      </c>
      <c r="W1628" t="s">
        <v>2464</v>
      </c>
    </row>
    <row r="1629" spans="1:23" x14ac:dyDescent="0.25">
      <c r="H1629" t="s">
        <v>70</v>
      </c>
    </row>
    <row r="1630" spans="1:23" x14ac:dyDescent="0.25">
      <c r="A1630">
        <v>812</v>
      </c>
      <c r="B1630">
        <v>414</v>
      </c>
      <c r="C1630" t="s">
        <v>2468</v>
      </c>
      <c r="D1630" t="s">
        <v>610</v>
      </c>
      <c r="E1630" t="s">
        <v>2469</v>
      </c>
      <c r="F1630" t="s">
        <v>2470</v>
      </c>
      <c r="G1630" t="str">
        <f>"00229423"</f>
        <v>00229423</v>
      </c>
      <c r="H1630" t="s">
        <v>465</v>
      </c>
      <c r="I1630">
        <v>150</v>
      </c>
      <c r="J1630">
        <v>50</v>
      </c>
      <c r="K1630">
        <v>0</v>
      </c>
      <c r="L1630">
        <v>30</v>
      </c>
      <c r="M1630">
        <v>0</v>
      </c>
      <c r="N1630">
        <v>0</v>
      </c>
      <c r="O1630">
        <v>70</v>
      </c>
      <c r="P1630">
        <v>0</v>
      </c>
      <c r="Q1630">
        <v>0</v>
      </c>
      <c r="R1630">
        <v>30</v>
      </c>
      <c r="S1630">
        <v>210</v>
      </c>
      <c r="T1630">
        <v>0</v>
      </c>
      <c r="V1630">
        <v>2</v>
      </c>
      <c r="W1630" t="s">
        <v>2471</v>
      </c>
    </row>
    <row r="1631" spans="1:23" x14ac:dyDescent="0.25">
      <c r="H1631" t="s">
        <v>26</v>
      </c>
    </row>
    <row r="1632" spans="1:23" x14ac:dyDescent="0.25">
      <c r="A1632">
        <v>813</v>
      </c>
      <c r="B1632">
        <v>2987</v>
      </c>
      <c r="C1632" t="s">
        <v>2472</v>
      </c>
      <c r="D1632" t="s">
        <v>1724</v>
      </c>
      <c r="E1632" t="s">
        <v>47</v>
      </c>
      <c r="F1632" t="s">
        <v>2473</v>
      </c>
      <c r="G1632" t="str">
        <f>"201412004183"</f>
        <v>201412004183</v>
      </c>
      <c r="H1632" t="s">
        <v>1101</v>
      </c>
      <c r="I1632">
        <v>0</v>
      </c>
      <c r="J1632">
        <v>0</v>
      </c>
      <c r="K1632">
        <v>0</v>
      </c>
      <c r="L1632">
        <v>0</v>
      </c>
      <c r="M1632">
        <v>0</v>
      </c>
      <c r="N1632">
        <v>0</v>
      </c>
      <c r="O1632">
        <v>0</v>
      </c>
      <c r="P1632">
        <v>0</v>
      </c>
      <c r="Q1632">
        <v>0</v>
      </c>
      <c r="R1632">
        <v>64</v>
      </c>
      <c r="S1632">
        <v>448</v>
      </c>
      <c r="T1632">
        <v>0</v>
      </c>
      <c r="V1632">
        <v>1</v>
      </c>
      <c r="W1632" t="s">
        <v>2474</v>
      </c>
    </row>
    <row r="1633" spans="1:23" x14ac:dyDescent="0.25">
      <c r="H1633">
        <v>703</v>
      </c>
    </row>
    <row r="1634" spans="1:23" x14ac:dyDescent="0.25">
      <c r="A1634">
        <v>814</v>
      </c>
      <c r="B1634">
        <v>950</v>
      </c>
      <c r="C1634" t="s">
        <v>2475</v>
      </c>
      <c r="D1634" t="s">
        <v>2476</v>
      </c>
      <c r="E1634" t="s">
        <v>2477</v>
      </c>
      <c r="F1634" t="s">
        <v>2478</v>
      </c>
      <c r="G1634" t="str">
        <f>"201511030361"</f>
        <v>201511030361</v>
      </c>
      <c r="H1634">
        <v>935</v>
      </c>
      <c r="I1634">
        <v>150</v>
      </c>
      <c r="J1634">
        <v>30</v>
      </c>
      <c r="K1634">
        <v>0</v>
      </c>
      <c r="L1634">
        <v>70</v>
      </c>
      <c r="M1634">
        <v>0</v>
      </c>
      <c r="N1634">
        <v>0</v>
      </c>
      <c r="O1634">
        <v>0</v>
      </c>
      <c r="P1634">
        <v>0</v>
      </c>
      <c r="Q1634">
        <v>0</v>
      </c>
      <c r="R1634">
        <v>41</v>
      </c>
      <c r="S1634">
        <v>287</v>
      </c>
      <c r="T1634">
        <v>0</v>
      </c>
      <c r="V1634">
        <v>0</v>
      </c>
      <c r="W1634">
        <v>1472</v>
      </c>
    </row>
    <row r="1635" spans="1:23" x14ac:dyDescent="0.25">
      <c r="H1635" t="s">
        <v>26</v>
      </c>
    </row>
    <row r="1636" spans="1:23" x14ac:dyDescent="0.25">
      <c r="A1636">
        <v>815</v>
      </c>
      <c r="B1636">
        <v>2574</v>
      </c>
      <c r="C1636" t="s">
        <v>2479</v>
      </c>
      <c r="D1636" t="s">
        <v>258</v>
      </c>
      <c r="E1636" t="s">
        <v>53</v>
      </c>
      <c r="F1636" t="s">
        <v>2480</v>
      </c>
      <c r="G1636" t="str">
        <f>"200801008366"</f>
        <v>200801008366</v>
      </c>
      <c r="H1636" t="s">
        <v>1909</v>
      </c>
      <c r="I1636">
        <v>0</v>
      </c>
      <c r="J1636">
        <v>30</v>
      </c>
      <c r="K1636">
        <v>0</v>
      </c>
      <c r="L1636">
        <v>0</v>
      </c>
      <c r="M1636">
        <v>0</v>
      </c>
      <c r="N1636">
        <v>0</v>
      </c>
      <c r="O1636">
        <v>0</v>
      </c>
      <c r="P1636">
        <v>0</v>
      </c>
      <c r="Q1636">
        <v>0</v>
      </c>
      <c r="R1636">
        <v>84</v>
      </c>
      <c r="S1636">
        <v>588</v>
      </c>
      <c r="T1636">
        <v>0</v>
      </c>
      <c r="V1636">
        <v>1</v>
      </c>
      <c r="W1636" t="s">
        <v>2481</v>
      </c>
    </row>
    <row r="1637" spans="1:23" x14ac:dyDescent="0.25">
      <c r="H1637">
        <v>703</v>
      </c>
    </row>
    <row r="1638" spans="1:23" x14ac:dyDescent="0.25">
      <c r="A1638">
        <v>816</v>
      </c>
      <c r="B1638">
        <v>1442</v>
      </c>
      <c r="C1638" t="s">
        <v>1175</v>
      </c>
      <c r="D1638" t="s">
        <v>2482</v>
      </c>
      <c r="E1638" t="s">
        <v>76</v>
      </c>
      <c r="F1638" t="s">
        <v>2483</v>
      </c>
      <c r="G1638" t="str">
        <f>"201511035630"</f>
        <v>201511035630</v>
      </c>
      <c r="H1638" t="s">
        <v>1970</v>
      </c>
      <c r="I1638">
        <v>0</v>
      </c>
      <c r="J1638">
        <v>0</v>
      </c>
      <c r="K1638">
        <v>0</v>
      </c>
      <c r="L1638">
        <v>0</v>
      </c>
      <c r="M1638">
        <v>0</v>
      </c>
      <c r="N1638">
        <v>0</v>
      </c>
      <c r="O1638">
        <v>0</v>
      </c>
      <c r="P1638">
        <v>0</v>
      </c>
      <c r="Q1638">
        <v>0</v>
      </c>
      <c r="R1638">
        <v>84</v>
      </c>
      <c r="S1638">
        <v>588</v>
      </c>
      <c r="T1638">
        <v>0</v>
      </c>
      <c r="V1638">
        <v>0</v>
      </c>
      <c r="W1638" t="s">
        <v>2484</v>
      </c>
    </row>
    <row r="1639" spans="1:23" x14ac:dyDescent="0.25">
      <c r="H1639">
        <v>703</v>
      </c>
    </row>
    <row r="1640" spans="1:23" x14ac:dyDescent="0.25">
      <c r="A1640">
        <v>817</v>
      </c>
      <c r="B1640">
        <v>1455</v>
      </c>
      <c r="C1640" t="s">
        <v>2485</v>
      </c>
      <c r="D1640" t="s">
        <v>32</v>
      </c>
      <c r="E1640" t="s">
        <v>53</v>
      </c>
      <c r="F1640" t="s">
        <v>2486</v>
      </c>
      <c r="G1640" t="str">
        <f>"00069856"</f>
        <v>00069856</v>
      </c>
      <c r="H1640" t="s">
        <v>299</v>
      </c>
      <c r="I1640">
        <v>0</v>
      </c>
      <c r="J1640">
        <v>30</v>
      </c>
      <c r="K1640">
        <v>0</v>
      </c>
      <c r="L1640">
        <v>0</v>
      </c>
      <c r="M1640">
        <v>0</v>
      </c>
      <c r="N1640">
        <v>0</v>
      </c>
      <c r="O1640">
        <v>0</v>
      </c>
      <c r="P1640">
        <v>0</v>
      </c>
      <c r="Q1640">
        <v>0</v>
      </c>
      <c r="R1640">
        <v>58</v>
      </c>
      <c r="S1640">
        <v>406</v>
      </c>
      <c r="T1640">
        <v>0</v>
      </c>
      <c r="V1640">
        <v>1</v>
      </c>
      <c r="W1640" t="s">
        <v>2487</v>
      </c>
    </row>
    <row r="1641" spans="1:23" x14ac:dyDescent="0.25">
      <c r="H1641">
        <v>703</v>
      </c>
    </row>
    <row r="1642" spans="1:23" x14ac:dyDescent="0.25">
      <c r="A1642">
        <v>818</v>
      </c>
      <c r="B1642">
        <v>2611</v>
      </c>
      <c r="C1642" t="s">
        <v>2488</v>
      </c>
      <c r="D1642" t="s">
        <v>20</v>
      </c>
      <c r="E1642" t="s">
        <v>2489</v>
      </c>
      <c r="F1642" t="s">
        <v>2490</v>
      </c>
      <c r="G1642" t="str">
        <f>"201412004818"</f>
        <v>201412004818</v>
      </c>
      <c r="H1642" t="s">
        <v>1359</v>
      </c>
      <c r="I1642">
        <v>0</v>
      </c>
      <c r="J1642">
        <v>0</v>
      </c>
      <c r="K1642">
        <v>0</v>
      </c>
      <c r="L1642">
        <v>30</v>
      </c>
      <c r="M1642">
        <v>0</v>
      </c>
      <c r="N1642">
        <v>0</v>
      </c>
      <c r="O1642">
        <v>0</v>
      </c>
      <c r="P1642">
        <v>0</v>
      </c>
      <c r="Q1642">
        <v>0</v>
      </c>
      <c r="R1642">
        <v>84</v>
      </c>
      <c r="S1642">
        <v>588</v>
      </c>
      <c r="T1642">
        <v>0</v>
      </c>
      <c r="V1642">
        <v>0</v>
      </c>
      <c r="W1642" t="s">
        <v>2491</v>
      </c>
    </row>
    <row r="1643" spans="1:23" x14ac:dyDescent="0.25">
      <c r="H1643">
        <v>703</v>
      </c>
    </row>
    <row r="1644" spans="1:23" x14ac:dyDescent="0.25">
      <c r="A1644">
        <v>819</v>
      </c>
      <c r="B1644">
        <v>3179</v>
      </c>
      <c r="C1644" t="s">
        <v>2492</v>
      </c>
      <c r="D1644" t="s">
        <v>40</v>
      </c>
      <c r="E1644" t="s">
        <v>91</v>
      </c>
      <c r="F1644" t="s">
        <v>2493</v>
      </c>
      <c r="G1644" t="str">
        <f>"00198083"</f>
        <v>00198083</v>
      </c>
      <c r="H1644" t="s">
        <v>187</v>
      </c>
      <c r="I1644">
        <v>0</v>
      </c>
      <c r="J1644">
        <v>70</v>
      </c>
      <c r="K1644">
        <v>0</v>
      </c>
      <c r="L1644">
        <v>0</v>
      </c>
      <c r="M1644">
        <v>0</v>
      </c>
      <c r="N1644">
        <v>0</v>
      </c>
      <c r="O1644">
        <v>0</v>
      </c>
      <c r="P1644">
        <v>0</v>
      </c>
      <c r="Q1644">
        <v>0</v>
      </c>
      <c r="R1644">
        <v>53</v>
      </c>
      <c r="S1644">
        <v>371</v>
      </c>
      <c r="T1644">
        <v>0</v>
      </c>
      <c r="V1644">
        <v>0</v>
      </c>
      <c r="W1644" t="s">
        <v>2494</v>
      </c>
    </row>
    <row r="1645" spans="1:23" x14ac:dyDescent="0.25">
      <c r="H1645">
        <v>703</v>
      </c>
    </row>
    <row r="1646" spans="1:23" x14ac:dyDescent="0.25">
      <c r="A1646">
        <v>820</v>
      </c>
      <c r="B1646">
        <v>525</v>
      </c>
      <c r="C1646" t="s">
        <v>2495</v>
      </c>
      <c r="D1646" t="s">
        <v>254</v>
      </c>
      <c r="E1646" t="s">
        <v>2000</v>
      </c>
      <c r="F1646" t="s">
        <v>2496</v>
      </c>
      <c r="G1646" t="str">
        <f>"00186697"</f>
        <v>00186697</v>
      </c>
      <c r="H1646" t="s">
        <v>217</v>
      </c>
      <c r="I1646">
        <v>0</v>
      </c>
      <c r="J1646">
        <v>0</v>
      </c>
      <c r="K1646">
        <v>0</v>
      </c>
      <c r="L1646">
        <v>0</v>
      </c>
      <c r="M1646">
        <v>0</v>
      </c>
      <c r="N1646">
        <v>0</v>
      </c>
      <c r="O1646">
        <v>0</v>
      </c>
      <c r="P1646">
        <v>0</v>
      </c>
      <c r="Q1646">
        <v>0</v>
      </c>
      <c r="R1646">
        <v>74</v>
      </c>
      <c r="S1646">
        <v>518</v>
      </c>
      <c r="T1646">
        <v>0</v>
      </c>
      <c r="V1646">
        <v>0</v>
      </c>
      <c r="W1646" t="s">
        <v>2494</v>
      </c>
    </row>
    <row r="1647" spans="1:23" x14ac:dyDescent="0.25">
      <c r="H1647">
        <v>703</v>
      </c>
    </row>
    <row r="1648" spans="1:23" x14ac:dyDescent="0.25">
      <c r="A1648">
        <v>821</v>
      </c>
      <c r="B1648">
        <v>1154</v>
      </c>
      <c r="C1648" t="s">
        <v>2497</v>
      </c>
      <c r="D1648" t="s">
        <v>1152</v>
      </c>
      <c r="E1648" t="s">
        <v>156</v>
      </c>
      <c r="F1648" t="s">
        <v>2498</v>
      </c>
      <c r="G1648" t="str">
        <f>"201512002892"</f>
        <v>201512002892</v>
      </c>
      <c r="H1648" t="s">
        <v>978</v>
      </c>
      <c r="I1648">
        <v>0</v>
      </c>
      <c r="J1648">
        <v>0</v>
      </c>
      <c r="K1648">
        <v>0</v>
      </c>
      <c r="L1648">
        <v>0</v>
      </c>
      <c r="M1648">
        <v>0</v>
      </c>
      <c r="N1648">
        <v>0</v>
      </c>
      <c r="O1648">
        <v>0</v>
      </c>
      <c r="P1648">
        <v>0</v>
      </c>
      <c r="Q1648">
        <v>0</v>
      </c>
      <c r="R1648">
        <v>83</v>
      </c>
      <c r="S1648">
        <v>581</v>
      </c>
      <c r="T1648">
        <v>0</v>
      </c>
      <c r="V1648">
        <v>0</v>
      </c>
      <c r="W1648" t="s">
        <v>2499</v>
      </c>
    </row>
    <row r="1649" spans="1:23" x14ac:dyDescent="0.25">
      <c r="H1649">
        <v>703</v>
      </c>
    </row>
    <row r="1650" spans="1:23" x14ac:dyDescent="0.25">
      <c r="A1650">
        <v>822</v>
      </c>
      <c r="B1650">
        <v>1368</v>
      </c>
      <c r="C1650" t="s">
        <v>2500</v>
      </c>
      <c r="D1650" t="s">
        <v>273</v>
      </c>
      <c r="E1650" t="s">
        <v>41</v>
      </c>
      <c r="F1650" t="s">
        <v>2501</v>
      </c>
      <c r="G1650" t="str">
        <f>"00046870"</f>
        <v>00046870</v>
      </c>
      <c r="H1650" t="s">
        <v>209</v>
      </c>
      <c r="I1650">
        <v>0</v>
      </c>
      <c r="J1650">
        <v>0</v>
      </c>
      <c r="K1650">
        <v>0</v>
      </c>
      <c r="L1650">
        <v>0</v>
      </c>
      <c r="M1650">
        <v>0</v>
      </c>
      <c r="N1650">
        <v>0</v>
      </c>
      <c r="O1650">
        <v>0</v>
      </c>
      <c r="P1650">
        <v>0</v>
      </c>
      <c r="Q1650">
        <v>0</v>
      </c>
      <c r="R1650">
        <v>55</v>
      </c>
      <c r="S1650">
        <v>385</v>
      </c>
      <c r="T1650">
        <v>0</v>
      </c>
      <c r="V1650">
        <v>1</v>
      </c>
      <c r="W1650" t="s">
        <v>2502</v>
      </c>
    </row>
    <row r="1651" spans="1:23" x14ac:dyDescent="0.25">
      <c r="H1651">
        <v>703</v>
      </c>
    </row>
    <row r="1652" spans="1:23" x14ac:dyDescent="0.25">
      <c r="A1652">
        <v>823</v>
      </c>
      <c r="B1652">
        <v>1773</v>
      </c>
      <c r="C1652" t="s">
        <v>1692</v>
      </c>
      <c r="D1652" t="s">
        <v>2503</v>
      </c>
      <c r="E1652" t="s">
        <v>53</v>
      </c>
      <c r="F1652" t="s">
        <v>2504</v>
      </c>
      <c r="G1652" t="str">
        <f>"00227169"</f>
        <v>00227169</v>
      </c>
      <c r="H1652">
        <v>1034</v>
      </c>
      <c r="I1652">
        <v>0</v>
      </c>
      <c r="J1652">
        <v>70</v>
      </c>
      <c r="K1652">
        <v>0</v>
      </c>
      <c r="L1652">
        <v>0</v>
      </c>
      <c r="M1652">
        <v>0</v>
      </c>
      <c r="N1652">
        <v>0</v>
      </c>
      <c r="O1652">
        <v>0</v>
      </c>
      <c r="P1652">
        <v>0</v>
      </c>
      <c r="Q1652">
        <v>0</v>
      </c>
      <c r="R1652">
        <v>52</v>
      </c>
      <c r="S1652">
        <v>364</v>
      </c>
      <c r="T1652">
        <v>0</v>
      </c>
      <c r="V1652">
        <v>1</v>
      </c>
      <c r="W1652">
        <v>1468</v>
      </c>
    </row>
    <row r="1653" spans="1:23" x14ac:dyDescent="0.25">
      <c r="H1653">
        <v>703</v>
      </c>
    </row>
    <row r="1654" spans="1:23" x14ac:dyDescent="0.25">
      <c r="A1654">
        <v>824</v>
      </c>
      <c r="B1654">
        <v>795</v>
      </c>
      <c r="C1654" t="s">
        <v>2505</v>
      </c>
      <c r="D1654" t="s">
        <v>382</v>
      </c>
      <c r="E1654" t="s">
        <v>99</v>
      </c>
      <c r="F1654" t="s">
        <v>2506</v>
      </c>
      <c r="G1654" t="str">
        <f>"201512002950"</f>
        <v>201512002950</v>
      </c>
      <c r="H1654">
        <v>880</v>
      </c>
      <c r="I1654">
        <v>0</v>
      </c>
      <c r="J1654">
        <v>0</v>
      </c>
      <c r="K1654">
        <v>0</v>
      </c>
      <c r="L1654">
        <v>0</v>
      </c>
      <c r="M1654">
        <v>0</v>
      </c>
      <c r="N1654">
        <v>0</v>
      </c>
      <c r="O1654">
        <v>0</v>
      </c>
      <c r="P1654">
        <v>0</v>
      </c>
      <c r="Q1654">
        <v>0</v>
      </c>
      <c r="R1654">
        <v>84</v>
      </c>
      <c r="S1654">
        <v>588</v>
      </c>
      <c r="T1654">
        <v>0</v>
      </c>
      <c r="V1654">
        <v>0</v>
      </c>
      <c r="W1654">
        <v>1468</v>
      </c>
    </row>
    <row r="1655" spans="1:23" x14ac:dyDescent="0.25">
      <c r="H1655">
        <v>703</v>
      </c>
    </row>
    <row r="1656" spans="1:23" x14ac:dyDescent="0.25">
      <c r="A1656">
        <v>825</v>
      </c>
      <c r="B1656">
        <v>1508</v>
      </c>
      <c r="C1656" t="s">
        <v>2507</v>
      </c>
      <c r="D1656" t="s">
        <v>40</v>
      </c>
      <c r="E1656" t="s">
        <v>105</v>
      </c>
      <c r="F1656" t="s">
        <v>2508</v>
      </c>
      <c r="G1656" t="str">
        <f>"201411003306"</f>
        <v>201411003306</v>
      </c>
      <c r="H1656">
        <v>880</v>
      </c>
      <c r="I1656">
        <v>0</v>
      </c>
      <c r="J1656">
        <v>0</v>
      </c>
      <c r="K1656">
        <v>0</v>
      </c>
      <c r="L1656">
        <v>0</v>
      </c>
      <c r="M1656">
        <v>0</v>
      </c>
      <c r="N1656">
        <v>0</v>
      </c>
      <c r="O1656">
        <v>0</v>
      </c>
      <c r="P1656">
        <v>0</v>
      </c>
      <c r="Q1656">
        <v>0</v>
      </c>
      <c r="R1656">
        <v>84</v>
      </c>
      <c r="S1656">
        <v>588</v>
      </c>
      <c r="T1656">
        <v>0</v>
      </c>
      <c r="V1656">
        <v>1</v>
      </c>
      <c r="W1656">
        <v>1468</v>
      </c>
    </row>
    <row r="1657" spans="1:23" x14ac:dyDescent="0.25">
      <c r="H1657">
        <v>703</v>
      </c>
    </row>
    <row r="1658" spans="1:23" x14ac:dyDescent="0.25">
      <c r="A1658">
        <v>826</v>
      </c>
      <c r="B1658">
        <v>46</v>
      </c>
      <c r="C1658" t="s">
        <v>2509</v>
      </c>
      <c r="D1658" t="s">
        <v>285</v>
      </c>
      <c r="E1658" t="s">
        <v>1818</v>
      </c>
      <c r="F1658" t="s">
        <v>2510</v>
      </c>
      <c r="G1658" t="str">
        <f>"00203121"</f>
        <v>00203121</v>
      </c>
      <c r="H1658">
        <v>880</v>
      </c>
      <c r="I1658">
        <v>0</v>
      </c>
      <c r="J1658">
        <v>0</v>
      </c>
      <c r="K1658">
        <v>0</v>
      </c>
      <c r="L1658">
        <v>0</v>
      </c>
      <c r="M1658">
        <v>0</v>
      </c>
      <c r="N1658">
        <v>0</v>
      </c>
      <c r="O1658">
        <v>0</v>
      </c>
      <c r="P1658">
        <v>0</v>
      </c>
      <c r="Q1658">
        <v>0</v>
      </c>
      <c r="R1658">
        <v>84</v>
      </c>
      <c r="S1658">
        <v>588</v>
      </c>
      <c r="T1658">
        <v>0</v>
      </c>
      <c r="V1658">
        <v>0</v>
      </c>
      <c r="W1658">
        <v>1468</v>
      </c>
    </row>
    <row r="1659" spans="1:23" x14ac:dyDescent="0.25">
      <c r="H1659">
        <v>703</v>
      </c>
    </row>
    <row r="1660" spans="1:23" x14ac:dyDescent="0.25">
      <c r="A1660">
        <v>827</v>
      </c>
      <c r="B1660">
        <v>1651</v>
      </c>
      <c r="C1660" t="s">
        <v>2511</v>
      </c>
      <c r="D1660" t="s">
        <v>2512</v>
      </c>
      <c r="E1660" t="s">
        <v>2513</v>
      </c>
      <c r="F1660" t="s">
        <v>2514</v>
      </c>
      <c r="G1660" t="str">
        <f>"00148288"</f>
        <v>00148288</v>
      </c>
      <c r="H1660">
        <v>880</v>
      </c>
      <c r="I1660">
        <v>0</v>
      </c>
      <c r="J1660">
        <v>0</v>
      </c>
      <c r="K1660">
        <v>0</v>
      </c>
      <c r="L1660">
        <v>0</v>
      </c>
      <c r="M1660">
        <v>0</v>
      </c>
      <c r="N1660">
        <v>0</v>
      </c>
      <c r="O1660">
        <v>0</v>
      </c>
      <c r="P1660">
        <v>0</v>
      </c>
      <c r="Q1660">
        <v>0</v>
      </c>
      <c r="R1660">
        <v>84</v>
      </c>
      <c r="S1660">
        <v>588</v>
      </c>
      <c r="T1660">
        <v>0</v>
      </c>
      <c r="V1660">
        <v>1</v>
      </c>
      <c r="W1660">
        <v>1468</v>
      </c>
    </row>
    <row r="1661" spans="1:23" x14ac:dyDescent="0.25">
      <c r="H1661">
        <v>703</v>
      </c>
    </row>
    <row r="1662" spans="1:23" x14ac:dyDescent="0.25">
      <c r="A1662">
        <v>828</v>
      </c>
      <c r="B1662">
        <v>2788</v>
      </c>
      <c r="C1662" t="s">
        <v>2515</v>
      </c>
      <c r="D1662" t="s">
        <v>273</v>
      </c>
      <c r="E1662" t="s">
        <v>91</v>
      </c>
      <c r="F1662" t="s">
        <v>2516</v>
      </c>
      <c r="G1662" t="str">
        <f>"200801007904"</f>
        <v>200801007904</v>
      </c>
      <c r="H1662">
        <v>880</v>
      </c>
      <c r="I1662">
        <v>0</v>
      </c>
      <c r="J1662">
        <v>0</v>
      </c>
      <c r="K1662">
        <v>0</v>
      </c>
      <c r="L1662">
        <v>0</v>
      </c>
      <c r="M1662">
        <v>0</v>
      </c>
      <c r="N1662">
        <v>0</v>
      </c>
      <c r="O1662">
        <v>0</v>
      </c>
      <c r="P1662">
        <v>0</v>
      </c>
      <c r="Q1662">
        <v>0</v>
      </c>
      <c r="R1662">
        <v>84</v>
      </c>
      <c r="S1662">
        <v>588</v>
      </c>
      <c r="T1662">
        <v>0</v>
      </c>
      <c r="V1662">
        <v>0</v>
      </c>
      <c r="W1662">
        <v>1468</v>
      </c>
    </row>
    <row r="1663" spans="1:23" x14ac:dyDescent="0.25">
      <c r="H1663">
        <v>703</v>
      </c>
    </row>
    <row r="1664" spans="1:23" x14ac:dyDescent="0.25">
      <c r="A1664">
        <v>829</v>
      </c>
      <c r="B1664">
        <v>1961</v>
      </c>
      <c r="C1664" t="s">
        <v>2517</v>
      </c>
      <c r="D1664" t="s">
        <v>40</v>
      </c>
      <c r="E1664" t="s">
        <v>91</v>
      </c>
      <c r="F1664" t="s">
        <v>2518</v>
      </c>
      <c r="G1664" t="str">
        <f>"00220011"</f>
        <v>00220011</v>
      </c>
      <c r="H1664">
        <v>880</v>
      </c>
      <c r="I1664">
        <v>0</v>
      </c>
      <c r="J1664">
        <v>0</v>
      </c>
      <c r="K1664">
        <v>0</v>
      </c>
      <c r="L1664">
        <v>0</v>
      </c>
      <c r="M1664">
        <v>0</v>
      </c>
      <c r="N1664">
        <v>0</v>
      </c>
      <c r="O1664">
        <v>0</v>
      </c>
      <c r="P1664">
        <v>0</v>
      </c>
      <c r="Q1664">
        <v>0</v>
      </c>
      <c r="R1664">
        <v>84</v>
      </c>
      <c r="S1664">
        <v>588</v>
      </c>
      <c r="T1664">
        <v>0</v>
      </c>
      <c r="V1664">
        <v>0</v>
      </c>
      <c r="W1664">
        <v>1468</v>
      </c>
    </row>
    <row r="1665" spans="1:23" x14ac:dyDescent="0.25">
      <c r="H1665">
        <v>703</v>
      </c>
    </row>
    <row r="1666" spans="1:23" x14ac:dyDescent="0.25">
      <c r="A1666">
        <v>830</v>
      </c>
      <c r="B1666">
        <v>2531</v>
      </c>
      <c r="C1666" t="s">
        <v>2519</v>
      </c>
      <c r="D1666" t="s">
        <v>2520</v>
      </c>
      <c r="E1666" t="s">
        <v>105</v>
      </c>
      <c r="F1666" t="s">
        <v>2521</v>
      </c>
      <c r="G1666" t="str">
        <f>"201506003384"</f>
        <v>201506003384</v>
      </c>
      <c r="H1666" t="s">
        <v>202</v>
      </c>
      <c r="I1666">
        <v>0</v>
      </c>
      <c r="J1666">
        <v>70</v>
      </c>
      <c r="K1666">
        <v>0</v>
      </c>
      <c r="L1666">
        <v>0</v>
      </c>
      <c r="M1666">
        <v>0</v>
      </c>
      <c r="N1666">
        <v>0</v>
      </c>
      <c r="O1666">
        <v>0</v>
      </c>
      <c r="P1666">
        <v>0</v>
      </c>
      <c r="Q1666">
        <v>0</v>
      </c>
      <c r="R1666">
        <v>59</v>
      </c>
      <c r="S1666">
        <v>413</v>
      </c>
      <c r="T1666">
        <v>0</v>
      </c>
      <c r="V1666">
        <v>0</v>
      </c>
      <c r="W1666" t="s">
        <v>2522</v>
      </c>
    </row>
    <row r="1667" spans="1:23" x14ac:dyDescent="0.25">
      <c r="H1667">
        <v>703</v>
      </c>
    </row>
    <row r="1668" spans="1:23" x14ac:dyDescent="0.25">
      <c r="A1668">
        <v>831</v>
      </c>
      <c r="B1668">
        <v>607</v>
      </c>
      <c r="C1668" t="s">
        <v>2523</v>
      </c>
      <c r="D1668" t="s">
        <v>273</v>
      </c>
      <c r="E1668" t="s">
        <v>2524</v>
      </c>
      <c r="F1668" t="s">
        <v>2525</v>
      </c>
      <c r="G1668" t="str">
        <f>"00224210"</f>
        <v>00224210</v>
      </c>
      <c r="H1668" t="s">
        <v>2526</v>
      </c>
      <c r="I1668">
        <v>0</v>
      </c>
      <c r="J1668">
        <v>30</v>
      </c>
      <c r="K1668">
        <v>0</v>
      </c>
      <c r="L1668">
        <v>0</v>
      </c>
      <c r="M1668">
        <v>0</v>
      </c>
      <c r="N1668">
        <v>0</v>
      </c>
      <c r="O1668">
        <v>0</v>
      </c>
      <c r="P1668">
        <v>0</v>
      </c>
      <c r="Q1668">
        <v>0</v>
      </c>
      <c r="R1668">
        <v>84</v>
      </c>
      <c r="S1668">
        <v>588</v>
      </c>
      <c r="T1668">
        <v>0</v>
      </c>
      <c r="V1668">
        <v>0</v>
      </c>
      <c r="W1668" t="s">
        <v>2527</v>
      </c>
    </row>
    <row r="1669" spans="1:23" x14ac:dyDescent="0.25">
      <c r="H1669">
        <v>703</v>
      </c>
    </row>
    <row r="1670" spans="1:23" x14ac:dyDescent="0.25">
      <c r="A1670">
        <v>832</v>
      </c>
      <c r="B1670">
        <v>88</v>
      </c>
      <c r="C1670" t="s">
        <v>2528</v>
      </c>
      <c r="D1670" t="s">
        <v>912</v>
      </c>
      <c r="E1670" t="s">
        <v>15</v>
      </c>
      <c r="F1670" t="s">
        <v>2529</v>
      </c>
      <c r="G1670" t="str">
        <f>"00230003"</f>
        <v>00230003</v>
      </c>
      <c r="H1670">
        <v>1001</v>
      </c>
      <c r="I1670">
        <v>0</v>
      </c>
      <c r="J1670">
        <v>70</v>
      </c>
      <c r="K1670">
        <v>30</v>
      </c>
      <c r="L1670">
        <v>0</v>
      </c>
      <c r="M1670">
        <v>0</v>
      </c>
      <c r="N1670">
        <v>0</v>
      </c>
      <c r="O1670">
        <v>0</v>
      </c>
      <c r="P1670">
        <v>0</v>
      </c>
      <c r="Q1670">
        <v>0</v>
      </c>
      <c r="R1670">
        <v>52</v>
      </c>
      <c r="S1670">
        <v>364</v>
      </c>
      <c r="T1670">
        <v>0</v>
      </c>
      <c r="V1670">
        <v>0</v>
      </c>
      <c r="W1670">
        <v>1465</v>
      </c>
    </row>
    <row r="1671" spans="1:23" x14ac:dyDescent="0.25">
      <c r="H1671" t="s">
        <v>70</v>
      </c>
    </row>
    <row r="1672" spans="1:23" x14ac:dyDescent="0.25">
      <c r="A1672">
        <v>833</v>
      </c>
      <c r="B1672">
        <v>705</v>
      </c>
      <c r="C1672" t="s">
        <v>2530</v>
      </c>
      <c r="D1672" t="s">
        <v>527</v>
      </c>
      <c r="E1672" t="s">
        <v>424</v>
      </c>
      <c r="F1672" t="s">
        <v>2531</v>
      </c>
      <c r="G1672" t="str">
        <f>"00224485"</f>
        <v>00224485</v>
      </c>
      <c r="H1672">
        <v>847</v>
      </c>
      <c r="I1672">
        <v>0</v>
      </c>
      <c r="J1672">
        <v>30</v>
      </c>
      <c r="K1672">
        <v>0</v>
      </c>
      <c r="L1672">
        <v>0</v>
      </c>
      <c r="M1672">
        <v>0</v>
      </c>
      <c r="N1672">
        <v>0</v>
      </c>
      <c r="O1672">
        <v>0</v>
      </c>
      <c r="P1672">
        <v>0</v>
      </c>
      <c r="Q1672">
        <v>0</v>
      </c>
      <c r="R1672">
        <v>84</v>
      </c>
      <c r="S1672">
        <v>588</v>
      </c>
      <c r="T1672">
        <v>0</v>
      </c>
      <c r="V1672">
        <v>0</v>
      </c>
      <c r="W1672">
        <v>1465</v>
      </c>
    </row>
    <row r="1673" spans="1:23" x14ac:dyDescent="0.25">
      <c r="H1673">
        <v>703</v>
      </c>
    </row>
    <row r="1674" spans="1:23" x14ac:dyDescent="0.25">
      <c r="A1674">
        <v>834</v>
      </c>
      <c r="B1674">
        <v>3047</v>
      </c>
      <c r="C1674" t="s">
        <v>2532</v>
      </c>
      <c r="D1674" t="s">
        <v>1472</v>
      </c>
      <c r="E1674" t="s">
        <v>523</v>
      </c>
      <c r="F1674" t="s">
        <v>2533</v>
      </c>
      <c r="G1674" t="str">
        <f>"00126349"</f>
        <v>00126349</v>
      </c>
      <c r="H1674">
        <v>847</v>
      </c>
      <c r="I1674">
        <v>0</v>
      </c>
      <c r="J1674">
        <v>30</v>
      </c>
      <c r="K1674">
        <v>0</v>
      </c>
      <c r="L1674">
        <v>0</v>
      </c>
      <c r="M1674">
        <v>0</v>
      </c>
      <c r="N1674">
        <v>0</v>
      </c>
      <c r="O1674">
        <v>0</v>
      </c>
      <c r="P1674">
        <v>0</v>
      </c>
      <c r="Q1674">
        <v>0</v>
      </c>
      <c r="R1674">
        <v>84</v>
      </c>
      <c r="S1674">
        <v>588</v>
      </c>
      <c r="T1674">
        <v>0</v>
      </c>
      <c r="V1674">
        <v>0</v>
      </c>
      <c r="W1674">
        <v>1465</v>
      </c>
    </row>
    <row r="1675" spans="1:23" x14ac:dyDescent="0.25">
      <c r="H1675">
        <v>703</v>
      </c>
    </row>
    <row r="1676" spans="1:23" x14ac:dyDescent="0.25">
      <c r="A1676">
        <v>835</v>
      </c>
      <c r="B1676">
        <v>2667</v>
      </c>
      <c r="C1676" t="s">
        <v>2534</v>
      </c>
      <c r="D1676" t="s">
        <v>1415</v>
      </c>
      <c r="E1676" t="s">
        <v>105</v>
      </c>
      <c r="F1676" t="s">
        <v>2535</v>
      </c>
      <c r="G1676" t="str">
        <f>"200904000592"</f>
        <v>200904000592</v>
      </c>
      <c r="H1676">
        <v>847</v>
      </c>
      <c r="I1676">
        <v>0</v>
      </c>
      <c r="J1676">
        <v>30</v>
      </c>
      <c r="K1676">
        <v>0</v>
      </c>
      <c r="L1676">
        <v>0</v>
      </c>
      <c r="M1676">
        <v>0</v>
      </c>
      <c r="N1676">
        <v>0</v>
      </c>
      <c r="O1676">
        <v>0</v>
      </c>
      <c r="P1676">
        <v>0</v>
      </c>
      <c r="Q1676">
        <v>0</v>
      </c>
      <c r="R1676">
        <v>84</v>
      </c>
      <c r="S1676">
        <v>588</v>
      </c>
      <c r="T1676">
        <v>0</v>
      </c>
      <c r="V1676">
        <v>0</v>
      </c>
      <c r="W1676">
        <v>1465</v>
      </c>
    </row>
    <row r="1677" spans="1:23" x14ac:dyDescent="0.25">
      <c r="H1677">
        <v>703</v>
      </c>
    </row>
    <row r="1678" spans="1:23" x14ac:dyDescent="0.25">
      <c r="A1678">
        <v>836</v>
      </c>
      <c r="B1678">
        <v>15</v>
      </c>
      <c r="C1678" t="s">
        <v>2536</v>
      </c>
      <c r="D1678" t="s">
        <v>2537</v>
      </c>
      <c r="E1678" t="s">
        <v>752</v>
      </c>
      <c r="F1678" t="s">
        <v>2538</v>
      </c>
      <c r="G1678" t="str">
        <f>"201511042646"</f>
        <v>201511042646</v>
      </c>
      <c r="H1678" t="s">
        <v>158</v>
      </c>
      <c r="I1678">
        <v>150</v>
      </c>
      <c r="J1678">
        <v>50</v>
      </c>
      <c r="K1678">
        <v>0</v>
      </c>
      <c r="L1678">
        <v>0</v>
      </c>
      <c r="M1678">
        <v>0</v>
      </c>
      <c r="N1678">
        <v>0</v>
      </c>
      <c r="O1678">
        <v>0</v>
      </c>
      <c r="P1678">
        <v>0</v>
      </c>
      <c r="Q1678">
        <v>0</v>
      </c>
      <c r="R1678">
        <v>35</v>
      </c>
      <c r="S1678">
        <v>245</v>
      </c>
      <c r="T1678">
        <v>0</v>
      </c>
      <c r="V1678">
        <v>1</v>
      </c>
      <c r="W1678" t="s">
        <v>2539</v>
      </c>
    </row>
    <row r="1679" spans="1:23" x14ac:dyDescent="0.25">
      <c r="H1679">
        <v>703</v>
      </c>
    </row>
    <row r="1680" spans="1:23" x14ac:dyDescent="0.25">
      <c r="A1680">
        <v>837</v>
      </c>
      <c r="B1680">
        <v>1303</v>
      </c>
      <c r="C1680" t="s">
        <v>2540</v>
      </c>
      <c r="D1680" t="s">
        <v>20</v>
      </c>
      <c r="E1680" t="s">
        <v>255</v>
      </c>
      <c r="F1680" t="s">
        <v>2541</v>
      </c>
      <c r="G1680" t="str">
        <f>"00019268"</f>
        <v>00019268</v>
      </c>
      <c r="H1680" t="s">
        <v>1097</v>
      </c>
      <c r="I1680">
        <v>0</v>
      </c>
      <c r="J1680">
        <v>30</v>
      </c>
      <c r="K1680">
        <v>0</v>
      </c>
      <c r="L1680">
        <v>0</v>
      </c>
      <c r="M1680">
        <v>0</v>
      </c>
      <c r="N1680">
        <v>0</v>
      </c>
      <c r="O1680">
        <v>0</v>
      </c>
      <c r="P1680">
        <v>0</v>
      </c>
      <c r="Q1680">
        <v>0</v>
      </c>
      <c r="R1680">
        <v>60</v>
      </c>
      <c r="S1680">
        <v>420</v>
      </c>
      <c r="T1680">
        <v>0</v>
      </c>
      <c r="V1680">
        <v>0</v>
      </c>
      <c r="W1680" t="s">
        <v>2542</v>
      </c>
    </row>
    <row r="1681" spans="1:23" x14ac:dyDescent="0.25">
      <c r="H1681">
        <v>703</v>
      </c>
    </row>
    <row r="1682" spans="1:23" x14ac:dyDescent="0.25">
      <c r="A1682">
        <v>838</v>
      </c>
      <c r="B1682">
        <v>1414</v>
      </c>
      <c r="C1682" t="s">
        <v>2543</v>
      </c>
      <c r="D1682" t="s">
        <v>629</v>
      </c>
      <c r="E1682" t="s">
        <v>303</v>
      </c>
      <c r="F1682" t="s">
        <v>2544</v>
      </c>
      <c r="G1682" t="str">
        <f>"201406002577"</f>
        <v>201406002577</v>
      </c>
      <c r="H1682">
        <v>957</v>
      </c>
      <c r="I1682">
        <v>0</v>
      </c>
      <c r="J1682">
        <v>70</v>
      </c>
      <c r="K1682">
        <v>50</v>
      </c>
      <c r="L1682">
        <v>0</v>
      </c>
      <c r="M1682">
        <v>0</v>
      </c>
      <c r="N1682">
        <v>0</v>
      </c>
      <c r="O1682">
        <v>30</v>
      </c>
      <c r="P1682">
        <v>0</v>
      </c>
      <c r="Q1682">
        <v>0</v>
      </c>
      <c r="R1682">
        <v>51</v>
      </c>
      <c r="S1682">
        <v>357</v>
      </c>
      <c r="T1682">
        <v>0</v>
      </c>
      <c r="V1682">
        <v>0</v>
      </c>
      <c r="W1682">
        <v>1464</v>
      </c>
    </row>
    <row r="1683" spans="1:23" x14ac:dyDescent="0.25">
      <c r="H1683" t="s">
        <v>26</v>
      </c>
    </row>
    <row r="1684" spans="1:23" x14ac:dyDescent="0.25">
      <c r="A1684">
        <v>839</v>
      </c>
      <c r="B1684">
        <v>2131</v>
      </c>
      <c r="C1684" t="s">
        <v>2545</v>
      </c>
      <c r="D1684" t="s">
        <v>32</v>
      </c>
      <c r="E1684" t="s">
        <v>592</v>
      </c>
      <c r="F1684" t="s">
        <v>2546</v>
      </c>
      <c r="G1684" t="str">
        <f>"00197664"</f>
        <v>00197664</v>
      </c>
      <c r="H1684" t="s">
        <v>131</v>
      </c>
      <c r="I1684">
        <v>150</v>
      </c>
      <c r="J1684">
        <v>0</v>
      </c>
      <c r="K1684">
        <v>0</v>
      </c>
      <c r="L1684">
        <v>0</v>
      </c>
      <c r="M1684">
        <v>0</v>
      </c>
      <c r="N1684">
        <v>0</v>
      </c>
      <c r="O1684">
        <v>0</v>
      </c>
      <c r="P1684">
        <v>0</v>
      </c>
      <c r="Q1684">
        <v>0</v>
      </c>
      <c r="R1684">
        <v>37</v>
      </c>
      <c r="S1684">
        <v>259</v>
      </c>
      <c r="T1684">
        <v>0</v>
      </c>
      <c r="V1684">
        <v>0</v>
      </c>
      <c r="W1684" t="s">
        <v>2547</v>
      </c>
    </row>
    <row r="1685" spans="1:23" x14ac:dyDescent="0.25">
      <c r="H1685" t="s">
        <v>70</v>
      </c>
    </row>
    <row r="1686" spans="1:23" x14ac:dyDescent="0.25">
      <c r="A1686">
        <v>840</v>
      </c>
      <c r="B1686">
        <v>1557</v>
      </c>
      <c r="C1686" t="s">
        <v>2548</v>
      </c>
      <c r="D1686" t="s">
        <v>392</v>
      </c>
      <c r="E1686" t="s">
        <v>24</v>
      </c>
      <c r="F1686" t="s">
        <v>2549</v>
      </c>
      <c r="G1686" t="str">
        <f>"201402003064"</f>
        <v>201402003064</v>
      </c>
      <c r="H1686" t="s">
        <v>1556</v>
      </c>
      <c r="I1686">
        <v>0</v>
      </c>
      <c r="J1686">
        <v>30</v>
      </c>
      <c r="K1686">
        <v>0</v>
      </c>
      <c r="L1686">
        <v>0</v>
      </c>
      <c r="M1686">
        <v>0</v>
      </c>
      <c r="N1686">
        <v>0</v>
      </c>
      <c r="O1686">
        <v>0</v>
      </c>
      <c r="P1686">
        <v>0</v>
      </c>
      <c r="Q1686">
        <v>0</v>
      </c>
      <c r="R1686">
        <v>84</v>
      </c>
      <c r="S1686">
        <v>588</v>
      </c>
      <c r="T1686">
        <v>0</v>
      </c>
      <c r="V1686">
        <v>0</v>
      </c>
      <c r="W1686" t="s">
        <v>2547</v>
      </c>
    </row>
    <row r="1687" spans="1:23" x14ac:dyDescent="0.25">
      <c r="H1687" t="s">
        <v>26</v>
      </c>
    </row>
    <row r="1688" spans="1:23" x14ac:dyDescent="0.25">
      <c r="A1688">
        <v>841</v>
      </c>
      <c r="B1688">
        <v>1289</v>
      </c>
      <c r="C1688" t="s">
        <v>794</v>
      </c>
      <c r="D1688" t="s">
        <v>273</v>
      </c>
      <c r="E1688" t="s">
        <v>523</v>
      </c>
      <c r="F1688" t="s">
        <v>2550</v>
      </c>
      <c r="G1688" t="str">
        <f>"200903000663"</f>
        <v>200903000663</v>
      </c>
      <c r="H1688" t="s">
        <v>1556</v>
      </c>
      <c r="I1688">
        <v>0</v>
      </c>
      <c r="J1688">
        <v>30</v>
      </c>
      <c r="K1688">
        <v>0</v>
      </c>
      <c r="L1688">
        <v>0</v>
      </c>
      <c r="M1688">
        <v>0</v>
      </c>
      <c r="N1688">
        <v>0</v>
      </c>
      <c r="O1688">
        <v>0</v>
      </c>
      <c r="P1688">
        <v>0</v>
      </c>
      <c r="Q1688">
        <v>0</v>
      </c>
      <c r="R1688">
        <v>84</v>
      </c>
      <c r="S1688">
        <v>588</v>
      </c>
      <c r="T1688">
        <v>0</v>
      </c>
      <c r="V1688">
        <v>0</v>
      </c>
      <c r="W1688" t="s">
        <v>2547</v>
      </c>
    </row>
    <row r="1689" spans="1:23" x14ac:dyDescent="0.25">
      <c r="H1689" t="s">
        <v>70</v>
      </c>
    </row>
    <row r="1690" spans="1:23" x14ac:dyDescent="0.25">
      <c r="A1690">
        <v>842</v>
      </c>
      <c r="B1690">
        <v>2201</v>
      </c>
      <c r="C1690" t="s">
        <v>2551</v>
      </c>
      <c r="D1690" t="s">
        <v>28</v>
      </c>
      <c r="E1690" t="s">
        <v>58</v>
      </c>
      <c r="F1690" t="s">
        <v>2552</v>
      </c>
      <c r="G1690" t="str">
        <f>"201406008903"</f>
        <v>201406008903</v>
      </c>
      <c r="H1690" t="s">
        <v>1556</v>
      </c>
      <c r="I1690">
        <v>0</v>
      </c>
      <c r="J1690">
        <v>30</v>
      </c>
      <c r="K1690">
        <v>0</v>
      </c>
      <c r="L1690">
        <v>0</v>
      </c>
      <c r="M1690">
        <v>0</v>
      </c>
      <c r="N1690">
        <v>0</v>
      </c>
      <c r="O1690">
        <v>0</v>
      </c>
      <c r="P1690">
        <v>0</v>
      </c>
      <c r="Q1690">
        <v>0</v>
      </c>
      <c r="R1690">
        <v>84</v>
      </c>
      <c r="S1690">
        <v>588</v>
      </c>
      <c r="T1690">
        <v>0</v>
      </c>
      <c r="V1690">
        <v>1</v>
      </c>
      <c r="W1690" t="s">
        <v>2547</v>
      </c>
    </row>
    <row r="1691" spans="1:23" x14ac:dyDescent="0.25">
      <c r="H1691">
        <v>703</v>
      </c>
    </row>
    <row r="1692" spans="1:23" x14ac:dyDescent="0.25">
      <c r="A1692">
        <v>843</v>
      </c>
      <c r="B1692">
        <v>1933</v>
      </c>
      <c r="C1692" t="s">
        <v>2553</v>
      </c>
      <c r="D1692" t="s">
        <v>20</v>
      </c>
      <c r="E1692" t="s">
        <v>105</v>
      </c>
      <c r="F1692" t="s">
        <v>2554</v>
      </c>
      <c r="G1692" t="str">
        <f>"00142787"</f>
        <v>00142787</v>
      </c>
      <c r="H1692" t="s">
        <v>1556</v>
      </c>
      <c r="I1692">
        <v>0</v>
      </c>
      <c r="J1692">
        <v>30</v>
      </c>
      <c r="K1692">
        <v>0</v>
      </c>
      <c r="L1692">
        <v>0</v>
      </c>
      <c r="M1692">
        <v>0</v>
      </c>
      <c r="N1692">
        <v>0</v>
      </c>
      <c r="O1692">
        <v>0</v>
      </c>
      <c r="P1692">
        <v>0</v>
      </c>
      <c r="Q1692">
        <v>0</v>
      </c>
      <c r="R1692">
        <v>84</v>
      </c>
      <c r="S1692">
        <v>588</v>
      </c>
      <c r="T1692">
        <v>0</v>
      </c>
      <c r="V1692">
        <v>0</v>
      </c>
      <c r="W1692" t="s">
        <v>2547</v>
      </c>
    </row>
    <row r="1693" spans="1:23" x14ac:dyDescent="0.25">
      <c r="H1693">
        <v>703</v>
      </c>
    </row>
    <row r="1694" spans="1:23" x14ac:dyDescent="0.25">
      <c r="A1694">
        <v>844</v>
      </c>
      <c r="B1694">
        <v>107</v>
      </c>
      <c r="C1694" t="s">
        <v>2555</v>
      </c>
      <c r="D1694" t="s">
        <v>1210</v>
      </c>
      <c r="E1694" t="s">
        <v>607</v>
      </c>
      <c r="F1694" t="s">
        <v>2556</v>
      </c>
      <c r="G1694" t="str">
        <f>"00139721"</f>
        <v>00139721</v>
      </c>
      <c r="H1694" t="s">
        <v>1014</v>
      </c>
      <c r="I1694">
        <v>0</v>
      </c>
      <c r="J1694">
        <v>0</v>
      </c>
      <c r="K1694">
        <v>0</v>
      </c>
      <c r="L1694">
        <v>0</v>
      </c>
      <c r="M1694">
        <v>0</v>
      </c>
      <c r="N1694">
        <v>0</v>
      </c>
      <c r="O1694">
        <v>0</v>
      </c>
      <c r="P1694">
        <v>0</v>
      </c>
      <c r="Q1694">
        <v>0</v>
      </c>
      <c r="R1694">
        <v>84</v>
      </c>
      <c r="S1694">
        <v>588</v>
      </c>
      <c r="T1694">
        <v>0</v>
      </c>
      <c r="V1694">
        <v>0</v>
      </c>
      <c r="W1694" t="s">
        <v>2557</v>
      </c>
    </row>
    <row r="1695" spans="1:23" x14ac:dyDescent="0.25">
      <c r="H1695">
        <v>703</v>
      </c>
    </row>
    <row r="1696" spans="1:23" x14ac:dyDescent="0.25">
      <c r="A1696">
        <v>845</v>
      </c>
      <c r="B1696">
        <v>2866</v>
      </c>
      <c r="C1696" t="s">
        <v>2558</v>
      </c>
      <c r="D1696" t="s">
        <v>2336</v>
      </c>
      <c r="E1696" t="s">
        <v>424</v>
      </c>
      <c r="F1696" t="s">
        <v>2559</v>
      </c>
      <c r="G1696" t="str">
        <f>"00221762"</f>
        <v>00221762</v>
      </c>
      <c r="H1696" t="s">
        <v>1014</v>
      </c>
      <c r="I1696">
        <v>0</v>
      </c>
      <c r="J1696">
        <v>0</v>
      </c>
      <c r="K1696">
        <v>0</v>
      </c>
      <c r="L1696">
        <v>0</v>
      </c>
      <c r="M1696">
        <v>0</v>
      </c>
      <c r="N1696">
        <v>0</v>
      </c>
      <c r="O1696">
        <v>0</v>
      </c>
      <c r="P1696">
        <v>0</v>
      </c>
      <c r="Q1696">
        <v>0</v>
      </c>
      <c r="R1696">
        <v>84</v>
      </c>
      <c r="S1696">
        <v>588</v>
      </c>
      <c r="T1696">
        <v>0</v>
      </c>
      <c r="V1696">
        <v>0</v>
      </c>
      <c r="W1696" t="s">
        <v>2557</v>
      </c>
    </row>
    <row r="1697" spans="1:23" x14ac:dyDescent="0.25">
      <c r="H1697">
        <v>703</v>
      </c>
    </row>
    <row r="1698" spans="1:23" x14ac:dyDescent="0.25">
      <c r="A1698">
        <v>846</v>
      </c>
      <c r="B1698">
        <v>178</v>
      </c>
      <c r="C1698" t="s">
        <v>2560</v>
      </c>
      <c r="D1698" t="s">
        <v>76</v>
      </c>
      <c r="E1698" t="s">
        <v>227</v>
      </c>
      <c r="F1698" t="s">
        <v>2561</v>
      </c>
      <c r="G1698" t="str">
        <f>"00150428"</f>
        <v>00150428</v>
      </c>
      <c r="H1698" t="s">
        <v>1014</v>
      </c>
      <c r="I1698">
        <v>0</v>
      </c>
      <c r="J1698">
        <v>0</v>
      </c>
      <c r="K1698">
        <v>0</v>
      </c>
      <c r="L1698">
        <v>0</v>
      </c>
      <c r="M1698">
        <v>0</v>
      </c>
      <c r="N1698">
        <v>0</v>
      </c>
      <c r="O1698">
        <v>0</v>
      </c>
      <c r="P1698">
        <v>0</v>
      </c>
      <c r="Q1698">
        <v>0</v>
      </c>
      <c r="R1698">
        <v>84</v>
      </c>
      <c r="S1698">
        <v>588</v>
      </c>
      <c r="T1698">
        <v>0</v>
      </c>
      <c r="V1698">
        <v>0</v>
      </c>
      <c r="W1698" t="s">
        <v>2557</v>
      </c>
    </row>
    <row r="1699" spans="1:23" x14ac:dyDescent="0.25">
      <c r="H1699">
        <v>703</v>
      </c>
    </row>
    <row r="1700" spans="1:23" x14ac:dyDescent="0.25">
      <c r="A1700">
        <v>847</v>
      </c>
      <c r="B1700">
        <v>2887</v>
      </c>
      <c r="C1700" t="s">
        <v>2562</v>
      </c>
      <c r="D1700" t="s">
        <v>67</v>
      </c>
      <c r="E1700" t="s">
        <v>263</v>
      </c>
      <c r="F1700" t="s">
        <v>2563</v>
      </c>
      <c r="G1700" t="str">
        <f>"201511025652"</f>
        <v>201511025652</v>
      </c>
      <c r="H1700" t="s">
        <v>1014</v>
      </c>
      <c r="I1700">
        <v>0</v>
      </c>
      <c r="J1700">
        <v>0</v>
      </c>
      <c r="K1700">
        <v>0</v>
      </c>
      <c r="L1700">
        <v>0</v>
      </c>
      <c r="M1700">
        <v>0</v>
      </c>
      <c r="N1700">
        <v>0</v>
      </c>
      <c r="O1700">
        <v>0</v>
      </c>
      <c r="P1700">
        <v>0</v>
      </c>
      <c r="Q1700">
        <v>0</v>
      </c>
      <c r="R1700">
        <v>84</v>
      </c>
      <c r="S1700">
        <v>588</v>
      </c>
      <c r="T1700">
        <v>0</v>
      </c>
      <c r="V1700">
        <v>0</v>
      </c>
      <c r="W1700" t="s">
        <v>2557</v>
      </c>
    </row>
    <row r="1701" spans="1:23" x14ac:dyDescent="0.25">
      <c r="H1701">
        <v>703</v>
      </c>
    </row>
    <row r="1702" spans="1:23" x14ac:dyDescent="0.25">
      <c r="A1702">
        <v>848</v>
      </c>
      <c r="B1702">
        <v>701</v>
      </c>
      <c r="C1702" t="s">
        <v>2564</v>
      </c>
      <c r="D1702" t="s">
        <v>1651</v>
      </c>
      <c r="E1702" t="s">
        <v>350</v>
      </c>
      <c r="F1702" t="s">
        <v>2565</v>
      </c>
      <c r="G1702" t="str">
        <f>"201511043570"</f>
        <v>201511043570</v>
      </c>
      <c r="H1702" t="s">
        <v>1097</v>
      </c>
      <c r="I1702">
        <v>0</v>
      </c>
      <c r="J1702">
        <v>0</v>
      </c>
      <c r="K1702">
        <v>0</v>
      </c>
      <c r="L1702">
        <v>0</v>
      </c>
      <c r="M1702">
        <v>0</v>
      </c>
      <c r="N1702">
        <v>0</v>
      </c>
      <c r="O1702">
        <v>0</v>
      </c>
      <c r="P1702">
        <v>0</v>
      </c>
      <c r="Q1702">
        <v>0</v>
      </c>
      <c r="R1702">
        <v>64</v>
      </c>
      <c r="S1702">
        <v>448</v>
      </c>
      <c r="T1702">
        <v>0</v>
      </c>
      <c r="V1702">
        <v>0</v>
      </c>
      <c r="W1702" t="s">
        <v>2566</v>
      </c>
    </row>
    <row r="1703" spans="1:23" x14ac:dyDescent="0.25">
      <c r="H1703">
        <v>703</v>
      </c>
    </row>
    <row r="1704" spans="1:23" x14ac:dyDescent="0.25">
      <c r="A1704">
        <v>849</v>
      </c>
      <c r="B1704">
        <v>1093</v>
      </c>
      <c r="C1704" t="s">
        <v>1113</v>
      </c>
      <c r="D1704" t="s">
        <v>2567</v>
      </c>
      <c r="E1704" t="s">
        <v>76</v>
      </c>
      <c r="F1704" t="s">
        <v>2568</v>
      </c>
      <c r="G1704" t="str">
        <f>"00135006"</f>
        <v>00135006</v>
      </c>
      <c r="H1704" t="s">
        <v>2569</v>
      </c>
      <c r="I1704">
        <v>0</v>
      </c>
      <c r="J1704">
        <v>70</v>
      </c>
      <c r="K1704">
        <v>0</v>
      </c>
      <c r="L1704">
        <v>0</v>
      </c>
      <c r="M1704">
        <v>0</v>
      </c>
      <c r="N1704">
        <v>0</v>
      </c>
      <c r="O1704">
        <v>0</v>
      </c>
      <c r="P1704">
        <v>0</v>
      </c>
      <c r="Q1704">
        <v>0</v>
      </c>
      <c r="R1704">
        <v>84</v>
      </c>
      <c r="S1704">
        <v>588</v>
      </c>
      <c r="T1704">
        <v>0</v>
      </c>
      <c r="V1704">
        <v>0</v>
      </c>
      <c r="W1704" t="s">
        <v>2570</v>
      </c>
    </row>
    <row r="1705" spans="1:23" x14ac:dyDescent="0.25">
      <c r="H1705">
        <v>703</v>
      </c>
    </row>
    <row r="1706" spans="1:23" x14ac:dyDescent="0.25">
      <c r="A1706">
        <v>850</v>
      </c>
      <c r="B1706">
        <v>3160</v>
      </c>
      <c r="C1706" t="s">
        <v>2571</v>
      </c>
      <c r="D1706" t="s">
        <v>99</v>
      </c>
      <c r="E1706" t="s">
        <v>478</v>
      </c>
      <c r="F1706" t="s">
        <v>2572</v>
      </c>
      <c r="G1706" t="str">
        <f>"201411003314"</f>
        <v>201411003314</v>
      </c>
      <c r="H1706" t="s">
        <v>1532</v>
      </c>
      <c r="I1706">
        <v>0</v>
      </c>
      <c r="J1706">
        <v>70</v>
      </c>
      <c r="K1706">
        <v>0</v>
      </c>
      <c r="L1706">
        <v>0</v>
      </c>
      <c r="M1706">
        <v>0</v>
      </c>
      <c r="N1706">
        <v>0</v>
      </c>
      <c r="O1706">
        <v>0</v>
      </c>
      <c r="P1706">
        <v>0</v>
      </c>
      <c r="Q1706">
        <v>0</v>
      </c>
      <c r="R1706">
        <v>66</v>
      </c>
      <c r="S1706">
        <v>462</v>
      </c>
      <c r="T1706">
        <v>0</v>
      </c>
      <c r="V1706">
        <v>0</v>
      </c>
      <c r="W1706" t="s">
        <v>2573</v>
      </c>
    </row>
    <row r="1707" spans="1:23" x14ac:dyDescent="0.25">
      <c r="H1707">
        <v>703</v>
      </c>
    </row>
    <row r="1708" spans="1:23" x14ac:dyDescent="0.25">
      <c r="A1708">
        <v>851</v>
      </c>
      <c r="B1708">
        <v>2996</v>
      </c>
      <c r="C1708" t="s">
        <v>2574</v>
      </c>
      <c r="D1708" t="s">
        <v>1678</v>
      </c>
      <c r="E1708" t="s">
        <v>91</v>
      </c>
      <c r="F1708" t="s">
        <v>2575</v>
      </c>
      <c r="G1708" t="str">
        <f>"201511026399"</f>
        <v>201511026399</v>
      </c>
      <c r="H1708" t="s">
        <v>2576</v>
      </c>
      <c r="I1708">
        <v>0</v>
      </c>
      <c r="J1708">
        <v>0</v>
      </c>
      <c r="K1708">
        <v>0</v>
      </c>
      <c r="L1708">
        <v>0</v>
      </c>
      <c r="M1708">
        <v>0</v>
      </c>
      <c r="N1708">
        <v>0</v>
      </c>
      <c r="O1708">
        <v>0</v>
      </c>
      <c r="P1708">
        <v>0</v>
      </c>
      <c r="Q1708">
        <v>0</v>
      </c>
      <c r="R1708">
        <v>84</v>
      </c>
      <c r="S1708">
        <v>588</v>
      </c>
      <c r="T1708">
        <v>0</v>
      </c>
      <c r="V1708">
        <v>0</v>
      </c>
      <c r="W1708" t="s">
        <v>2577</v>
      </c>
    </row>
    <row r="1709" spans="1:23" x14ac:dyDescent="0.25">
      <c r="H1709">
        <v>703</v>
      </c>
    </row>
    <row r="1710" spans="1:23" x14ac:dyDescent="0.25">
      <c r="A1710">
        <v>852</v>
      </c>
      <c r="B1710">
        <v>2102</v>
      </c>
      <c r="C1710" t="s">
        <v>702</v>
      </c>
      <c r="D1710" t="s">
        <v>28</v>
      </c>
      <c r="E1710" t="s">
        <v>99</v>
      </c>
      <c r="F1710" t="s">
        <v>2578</v>
      </c>
      <c r="G1710" t="str">
        <f>"00104143"</f>
        <v>00104143</v>
      </c>
      <c r="H1710">
        <v>1012</v>
      </c>
      <c r="I1710">
        <v>0</v>
      </c>
      <c r="J1710">
        <v>70</v>
      </c>
      <c r="K1710">
        <v>0</v>
      </c>
      <c r="L1710">
        <v>0</v>
      </c>
      <c r="M1710">
        <v>0</v>
      </c>
      <c r="N1710">
        <v>0</v>
      </c>
      <c r="O1710">
        <v>0</v>
      </c>
      <c r="P1710">
        <v>0</v>
      </c>
      <c r="Q1710">
        <v>0</v>
      </c>
      <c r="R1710">
        <v>54</v>
      </c>
      <c r="S1710">
        <v>378</v>
      </c>
      <c r="T1710">
        <v>0</v>
      </c>
      <c r="V1710">
        <v>2</v>
      </c>
      <c r="W1710">
        <v>1460</v>
      </c>
    </row>
    <row r="1711" spans="1:23" x14ac:dyDescent="0.25">
      <c r="H1711">
        <v>703</v>
      </c>
    </row>
    <row r="1712" spans="1:23" x14ac:dyDescent="0.25">
      <c r="A1712">
        <v>853</v>
      </c>
      <c r="B1712">
        <v>1287</v>
      </c>
      <c r="C1712" t="s">
        <v>2579</v>
      </c>
      <c r="D1712" t="s">
        <v>32</v>
      </c>
      <c r="E1712" t="s">
        <v>53</v>
      </c>
      <c r="F1712" t="s">
        <v>2580</v>
      </c>
      <c r="G1712" t="str">
        <f>"201406007925"</f>
        <v>201406007925</v>
      </c>
      <c r="H1712" t="s">
        <v>1218</v>
      </c>
      <c r="I1712">
        <v>150</v>
      </c>
      <c r="J1712">
        <v>0</v>
      </c>
      <c r="K1712">
        <v>0</v>
      </c>
      <c r="L1712">
        <v>30</v>
      </c>
      <c r="M1712">
        <v>0</v>
      </c>
      <c r="N1712">
        <v>0</v>
      </c>
      <c r="O1712">
        <v>0</v>
      </c>
      <c r="P1712">
        <v>0</v>
      </c>
      <c r="Q1712">
        <v>0</v>
      </c>
      <c r="R1712">
        <v>30</v>
      </c>
      <c r="S1712">
        <v>210</v>
      </c>
      <c r="T1712">
        <v>0</v>
      </c>
      <c r="V1712">
        <v>3</v>
      </c>
      <c r="W1712" t="s">
        <v>2581</v>
      </c>
    </row>
    <row r="1713" spans="1:23" x14ac:dyDescent="0.25">
      <c r="H1713" t="s">
        <v>26</v>
      </c>
    </row>
    <row r="1714" spans="1:23" x14ac:dyDescent="0.25">
      <c r="A1714">
        <v>854</v>
      </c>
      <c r="B1714">
        <v>1215</v>
      </c>
      <c r="C1714" t="s">
        <v>2229</v>
      </c>
      <c r="D1714" t="s">
        <v>610</v>
      </c>
      <c r="E1714" t="s">
        <v>58</v>
      </c>
      <c r="F1714" t="s">
        <v>2582</v>
      </c>
      <c r="G1714" t="str">
        <f>"200803000748"</f>
        <v>200803000748</v>
      </c>
      <c r="H1714" t="s">
        <v>1803</v>
      </c>
      <c r="I1714">
        <v>0</v>
      </c>
      <c r="J1714">
        <v>70</v>
      </c>
      <c r="K1714">
        <v>0</v>
      </c>
      <c r="L1714">
        <v>30</v>
      </c>
      <c r="M1714">
        <v>0</v>
      </c>
      <c r="N1714">
        <v>0</v>
      </c>
      <c r="O1714">
        <v>0</v>
      </c>
      <c r="P1714">
        <v>0</v>
      </c>
      <c r="Q1714">
        <v>0</v>
      </c>
      <c r="R1714">
        <v>65</v>
      </c>
      <c r="S1714">
        <v>455</v>
      </c>
      <c r="T1714">
        <v>0</v>
      </c>
      <c r="V1714">
        <v>2</v>
      </c>
      <c r="W1714" t="s">
        <v>2581</v>
      </c>
    </row>
    <row r="1715" spans="1:23" x14ac:dyDescent="0.25">
      <c r="H1715" t="s">
        <v>70</v>
      </c>
    </row>
    <row r="1716" spans="1:23" x14ac:dyDescent="0.25">
      <c r="A1716">
        <v>855</v>
      </c>
      <c r="B1716">
        <v>882</v>
      </c>
      <c r="C1716" t="s">
        <v>2583</v>
      </c>
      <c r="D1716" t="s">
        <v>315</v>
      </c>
      <c r="E1716" t="s">
        <v>1440</v>
      </c>
      <c r="F1716" t="s">
        <v>2584</v>
      </c>
      <c r="G1716" t="str">
        <f>"00226292"</f>
        <v>00226292</v>
      </c>
      <c r="H1716" t="s">
        <v>2585</v>
      </c>
      <c r="I1716">
        <v>0</v>
      </c>
      <c r="J1716">
        <v>0</v>
      </c>
      <c r="K1716">
        <v>0</v>
      </c>
      <c r="L1716">
        <v>0</v>
      </c>
      <c r="M1716">
        <v>0</v>
      </c>
      <c r="N1716">
        <v>0</v>
      </c>
      <c r="O1716">
        <v>0</v>
      </c>
      <c r="P1716">
        <v>0</v>
      </c>
      <c r="Q1716">
        <v>0</v>
      </c>
      <c r="R1716">
        <v>84</v>
      </c>
      <c r="S1716">
        <v>588</v>
      </c>
      <c r="T1716">
        <v>0</v>
      </c>
      <c r="V1716">
        <v>0</v>
      </c>
      <c r="W1716" t="s">
        <v>2581</v>
      </c>
    </row>
    <row r="1717" spans="1:23" x14ac:dyDescent="0.25">
      <c r="H1717">
        <v>703</v>
      </c>
    </row>
    <row r="1718" spans="1:23" x14ac:dyDescent="0.25">
      <c r="A1718">
        <v>856</v>
      </c>
      <c r="B1718">
        <v>2345</v>
      </c>
      <c r="C1718" t="s">
        <v>2586</v>
      </c>
      <c r="D1718" t="s">
        <v>155</v>
      </c>
      <c r="E1718" t="s">
        <v>592</v>
      </c>
      <c r="F1718" t="s">
        <v>2587</v>
      </c>
      <c r="G1718" t="str">
        <f>"00017811"</f>
        <v>00017811</v>
      </c>
      <c r="H1718">
        <v>1067</v>
      </c>
      <c r="I1718">
        <v>0</v>
      </c>
      <c r="J1718">
        <v>70</v>
      </c>
      <c r="K1718">
        <v>0</v>
      </c>
      <c r="L1718">
        <v>0</v>
      </c>
      <c r="M1718">
        <v>0</v>
      </c>
      <c r="N1718">
        <v>0</v>
      </c>
      <c r="O1718">
        <v>0</v>
      </c>
      <c r="P1718">
        <v>0</v>
      </c>
      <c r="Q1718">
        <v>0</v>
      </c>
      <c r="R1718">
        <v>46</v>
      </c>
      <c r="S1718">
        <v>322</v>
      </c>
      <c r="T1718">
        <v>0</v>
      </c>
      <c r="V1718">
        <v>0</v>
      </c>
      <c r="W1718">
        <v>1459</v>
      </c>
    </row>
    <row r="1719" spans="1:23" x14ac:dyDescent="0.25">
      <c r="H1719">
        <v>703</v>
      </c>
    </row>
    <row r="1720" spans="1:23" x14ac:dyDescent="0.25">
      <c r="A1720">
        <v>857</v>
      </c>
      <c r="B1720">
        <v>1969</v>
      </c>
      <c r="C1720" t="s">
        <v>2588</v>
      </c>
      <c r="D1720" t="s">
        <v>344</v>
      </c>
      <c r="E1720" t="s">
        <v>58</v>
      </c>
      <c r="F1720" t="s">
        <v>2589</v>
      </c>
      <c r="G1720" t="str">
        <f>"201406001762"</f>
        <v>201406001762</v>
      </c>
      <c r="H1720" t="s">
        <v>2590</v>
      </c>
      <c r="I1720">
        <v>0</v>
      </c>
      <c r="J1720">
        <v>30</v>
      </c>
      <c r="K1720">
        <v>0</v>
      </c>
      <c r="L1720">
        <v>0</v>
      </c>
      <c r="M1720">
        <v>0</v>
      </c>
      <c r="N1720">
        <v>0</v>
      </c>
      <c r="O1720">
        <v>0</v>
      </c>
      <c r="P1720">
        <v>0</v>
      </c>
      <c r="Q1720">
        <v>0</v>
      </c>
      <c r="R1720">
        <v>84</v>
      </c>
      <c r="S1720">
        <v>588</v>
      </c>
      <c r="T1720">
        <v>0</v>
      </c>
      <c r="V1720">
        <v>0</v>
      </c>
      <c r="W1720" t="s">
        <v>2591</v>
      </c>
    </row>
    <row r="1721" spans="1:23" x14ac:dyDescent="0.25">
      <c r="H1721">
        <v>703</v>
      </c>
    </row>
    <row r="1722" spans="1:23" x14ac:dyDescent="0.25">
      <c r="A1722">
        <v>858</v>
      </c>
      <c r="B1722">
        <v>766</v>
      </c>
      <c r="C1722" t="s">
        <v>2592</v>
      </c>
      <c r="D1722" t="s">
        <v>722</v>
      </c>
      <c r="E1722" t="s">
        <v>2593</v>
      </c>
      <c r="F1722" t="s">
        <v>2594</v>
      </c>
      <c r="G1722" t="str">
        <f>"200811000778"</f>
        <v>200811000778</v>
      </c>
      <c r="H1722">
        <v>660</v>
      </c>
      <c r="I1722">
        <v>150</v>
      </c>
      <c r="J1722">
        <v>30</v>
      </c>
      <c r="K1722">
        <v>30</v>
      </c>
      <c r="L1722">
        <v>0</v>
      </c>
      <c r="M1722">
        <v>0</v>
      </c>
      <c r="N1722">
        <v>0</v>
      </c>
      <c r="O1722">
        <v>0</v>
      </c>
      <c r="P1722">
        <v>0</v>
      </c>
      <c r="Q1722">
        <v>0</v>
      </c>
      <c r="R1722">
        <v>84</v>
      </c>
      <c r="S1722">
        <v>588</v>
      </c>
      <c r="T1722">
        <v>0</v>
      </c>
      <c r="V1722">
        <v>0</v>
      </c>
      <c r="W1722">
        <v>1458</v>
      </c>
    </row>
    <row r="1723" spans="1:23" x14ac:dyDescent="0.25">
      <c r="H1723" t="s">
        <v>26</v>
      </c>
    </row>
    <row r="1724" spans="1:23" x14ac:dyDescent="0.25">
      <c r="A1724">
        <v>859</v>
      </c>
      <c r="B1724">
        <v>791</v>
      </c>
      <c r="C1724" t="s">
        <v>2595</v>
      </c>
      <c r="D1724" t="s">
        <v>1415</v>
      </c>
      <c r="E1724" t="s">
        <v>15</v>
      </c>
      <c r="F1724" t="s">
        <v>2596</v>
      </c>
      <c r="G1724" t="str">
        <f>"201511024391"</f>
        <v>201511024391</v>
      </c>
      <c r="H1724" t="s">
        <v>2437</v>
      </c>
      <c r="I1724">
        <v>0</v>
      </c>
      <c r="J1724">
        <v>0</v>
      </c>
      <c r="K1724">
        <v>0</v>
      </c>
      <c r="L1724">
        <v>30</v>
      </c>
      <c r="M1724">
        <v>0</v>
      </c>
      <c r="N1724">
        <v>0</v>
      </c>
      <c r="O1724">
        <v>0</v>
      </c>
      <c r="P1724">
        <v>0</v>
      </c>
      <c r="Q1724">
        <v>0</v>
      </c>
      <c r="R1724">
        <v>84</v>
      </c>
      <c r="S1724">
        <v>588</v>
      </c>
      <c r="T1724">
        <v>0</v>
      </c>
      <c r="V1724">
        <v>0</v>
      </c>
      <c r="W1724" t="s">
        <v>2597</v>
      </c>
    </row>
    <row r="1725" spans="1:23" x14ac:dyDescent="0.25">
      <c r="H1725">
        <v>703</v>
      </c>
    </row>
    <row r="1726" spans="1:23" x14ac:dyDescent="0.25">
      <c r="A1726">
        <v>860</v>
      </c>
      <c r="B1726">
        <v>1609</v>
      </c>
      <c r="C1726" t="s">
        <v>2598</v>
      </c>
      <c r="D1726" t="s">
        <v>2599</v>
      </c>
      <c r="E1726" t="s">
        <v>1678</v>
      </c>
      <c r="F1726" t="s">
        <v>2600</v>
      </c>
      <c r="G1726" t="str">
        <f>"201511032677"</f>
        <v>201511032677</v>
      </c>
      <c r="H1726" t="s">
        <v>2601</v>
      </c>
      <c r="I1726">
        <v>150</v>
      </c>
      <c r="J1726">
        <v>0</v>
      </c>
      <c r="K1726">
        <v>0</v>
      </c>
      <c r="L1726">
        <v>0</v>
      </c>
      <c r="M1726">
        <v>0</v>
      </c>
      <c r="N1726">
        <v>0</v>
      </c>
      <c r="O1726">
        <v>0</v>
      </c>
      <c r="P1726">
        <v>0</v>
      </c>
      <c r="Q1726">
        <v>0</v>
      </c>
      <c r="R1726">
        <v>73</v>
      </c>
      <c r="S1726">
        <v>511</v>
      </c>
      <c r="T1726">
        <v>0</v>
      </c>
      <c r="V1726">
        <v>0</v>
      </c>
      <c r="W1726" t="s">
        <v>2602</v>
      </c>
    </row>
    <row r="1727" spans="1:23" x14ac:dyDescent="0.25">
      <c r="H1727">
        <v>703</v>
      </c>
    </row>
    <row r="1728" spans="1:23" x14ac:dyDescent="0.25">
      <c r="A1728">
        <v>861</v>
      </c>
      <c r="B1728">
        <v>2260</v>
      </c>
      <c r="C1728" t="s">
        <v>2603</v>
      </c>
      <c r="D1728" t="s">
        <v>2604</v>
      </c>
      <c r="E1728" t="s">
        <v>99</v>
      </c>
      <c r="F1728" t="s">
        <v>2605</v>
      </c>
      <c r="G1728" t="str">
        <f>"200712003159"</f>
        <v>200712003159</v>
      </c>
      <c r="H1728" t="s">
        <v>2606</v>
      </c>
      <c r="I1728">
        <v>150</v>
      </c>
      <c r="J1728">
        <v>0</v>
      </c>
      <c r="K1728">
        <v>0</v>
      </c>
      <c r="L1728">
        <v>0</v>
      </c>
      <c r="M1728">
        <v>0</v>
      </c>
      <c r="N1728">
        <v>0</v>
      </c>
      <c r="O1728">
        <v>0</v>
      </c>
      <c r="P1728">
        <v>0</v>
      </c>
      <c r="Q1728">
        <v>0</v>
      </c>
      <c r="R1728">
        <v>84</v>
      </c>
      <c r="S1728">
        <v>588</v>
      </c>
      <c r="T1728">
        <v>0</v>
      </c>
      <c r="V1728">
        <v>1</v>
      </c>
      <c r="W1728" t="s">
        <v>2602</v>
      </c>
    </row>
    <row r="1729" spans="1:23" x14ac:dyDescent="0.25">
      <c r="H1729">
        <v>703</v>
      </c>
    </row>
    <row r="1730" spans="1:23" x14ac:dyDescent="0.25">
      <c r="A1730">
        <v>862</v>
      </c>
      <c r="B1730">
        <v>2264</v>
      </c>
      <c r="C1730" t="s">
        <v>2607</v>
      </c>
      <c r="D1730" t="s">
        <v>629</v>
      </c>
      <c r="E1730" t="s">
        <v>79</v>
      </c>
      <c r="F1730" t="s">
        <v>2608</v>
      </c>
      <c r="G1730" t="str">
        <f>"00156067"</f>
        <v>00156067</v>
      </c>
      <c r="H1730">
        <v>1078</v>
      </c>
      <c r="I1730">
        <v>0</v>
      </c>
      <c r="J1730">
        <v>70</v>
      </c>
      <c r="K1730">
        <v>70</v>
      </c>
      <c r="L1730">
        <v>0</v>
      </c>
      <c r="M1730">
        <v>0</v>
      </c>
      <c r="N1730">
        <v>0</v>
      </c>
      <c r="O1730">
        <v>0</v>
      </c>
      <c r="P1730">
        <v>0</v>
      </c>
      <c r="Q1730">
        <v>0</v>
      </c>
      <c r="R1730">
        <v>34</v>
      </c>
      <c r="S1730">
        <v>238</v>
      </c>
      <c r="T1730">
        <v>0</v>
      </c>
      <c r="V1730">
        <v>2</v>
      </c>
      <c r="W1730">
        <v>1456</v>
      </c>
    </row>
    <row r="1731" spans="1:23" x14ac:dyDescent="0.25">
      <c r="H1731" t="s">
        <v>70</v>
      </c>
    </row>
    <row r="1732" spans="1:23" x14ac:dyDescent="0.25">
      <c r="A1732">
        <v>863</v>
      </c>
      <c r="B1732">
        <v>142</v>
      </c>
      <c r="C1732" t="s">
        <v>2609</v>
      </c>
      <c r="D1732" t="s">
        <v>28</v>
      </c>
      <c r="E1732" t="s">
        <v>62</v>
      </c>
      <c r="F1732" t="s">
        <v>2610</v>
      </c>
      <c r="G1732" t="str">
        <f>"200712000746"</f>
        <v>200712000746</v>
      </c>
      <c r="H1732" t="s">
        <v>1803</v>
      </c>
      <c r="I1732">
        <v>150</v>
      </c>
      <c r="J1732">
        <v>30</v>
      </c>
      <c r="K1732">
        <v>0</v>
      </c>
      <c r="L1732">
        <v>0</v>
      </c>
      <c r="M1732">
        <v>0</v>
      </c>
      <c r="N1732">
        <v>0</v>
      </c>
      <c r="O1732">
        <v>0</v>
      </c>
      <c r="P1732">
        <v>0</v>
      </c>
      <c r="Q1732">
        <v>0</v>
      </c>
      <c r="R1732">
        <v>53</v>
      </c>
      <c r="S1732">
        <v>371</v>
      </c>
      <c r="T1732">
        <v>0</v>
      </c>
      <c r="V1732">
        <v>0</v>
      </c>
      <c r="W1732" t="s">
        <v>2611</v>
      </c>
    </row>
    <row r="1733" spans="1:23" x14ac:dyDescent="0.25">
      <c r="H1733">
        <v>703</v>
      </c>
    </row>
    <row r="1734" spans="1:23" x14ac:dyDescent="0.25">
      <c r="A1734">
        <v>864</v>
      </c>
      <c r="B1734">
        <v>2598</v>
      </c>
      <c r="C1734" t="s">
        <v>1291</v>
      </c>
      <c r="D1734" t="s">
        <v>2612</v>
      </c>
      <c r="E1734" t="s">
        <v>322</v>
      </c>
      <c r="F1734" t="s">
        <v>2613</v>
      </c>
      <c r="G1734" t="str">
        <f>"00102297"</f>
        <v>00102297</v>
      </c>
      <c r="H1734" t="s">
        <v>2614</v>
      </c>
      <c r="I1734">
        <v>0</v>
      </c>
      <c r="J1734">
        <v>30</v>
      </c>
      <c r="K1734">
        <v>0</v>
      </c>
      <c r="L1734">
        <v>0</v>
      </c>
      <c r="M1734">
        <v>0</v>
      </c>
      <c r="N1734">
        <v>0</v>
      </c>
      <c r="O1734">
        <v>0</v>
      </c>
      <c r="P1734">
        <v>0</v>
      </c>
      <c r="Q1734">
        <v>0</v>
      </c>
      <c r="R1734">
        <v>84</v>
      </c>
      <c r="S1734">
        <v>588</v>
      </c>
      <c r="T1734">
        <v>0</v>
      </c>
      <c r="V1734">
        <v>2</v>
      </c>
      <c r="W1734" t="s">
        <v>2615</v>
      </c>
    </row>
    <row r="1735" spans="1:23" x14ac:dyDescent="0.25">
      <c r="H1735" t="s">
        <v>70</v>
      </c>
    </row>
    <row r="1736" spans="1:23" x14ac:dyDescent="0.25">
      <c r="A1736">
        <v>865</v>
      </c>
      <c r="B1736">
        <v>863</v>
      </c>
      <c r="C1736" t="s">
        <v>2616</v>
      </c>
      <c r="D1736" t="s">
        <v>96</v>
      </c>
      <c r="E1736" t="s">
        <v>53</v>
      </c>
      <c r="F1736" t="s">
        <v>2617</v>
      </c>
      <c r="G1736" t="str">
        <f>"201406012148"</f>
        <v>201406012148</v>
      </c>
      <c r="H1736" t="s">
        <v>2618</v>
      </c>
      <c r="I1736">
        <v>0</v>
      </c>
      <c r="J1736">
        <v>50</v>
      </c>
      <c r="K1736">
        <v>0</v>
      </c>
      <c r="L1736">
        <v>0</v>
      </c>
      <c r="M1736">
        <v>0</v>
      </c>
      <c r="N1736">
        <v>0</v>
      </c>
      <c r="O1736">
        <v>0</v>
      </c>
      <c r="P1736">
        <v>0</v>
      </c>
      <c r="Q1736">
        <v>0</v>
      </c>
      <c r="R1736">
        <v>84</v>
      </c>
      <c r="S1736">
        <v>588</v>
      </c>
      <c r="T1736">
        <v>0</v>
      </c>
      <c r="V1736">
        <v>0</v>
      </c>
      <c r="W1736" t="s">
        <v>2619</v>
      </c>
    </row>
    <row r="1737" spans="1:23" x14ac:dyDescent="0.25">
      <c r="H1737" t="s">
        <v>70</v>
      </c>
    </row>
    <row r="1738" spans="1:23" x14ac:dyDescent="0.25">
      <c r="A1738">
        <v>866</v>
      </c>
      <c r="B1738">
        <v>1926</v>
      </c>
      <c r="C1738" t="s">
        <v>2588</v>
      </c>
      <c r="D1738" t="s">
        <v>226</v>
      </c>
      <c r="E1738" t="s">
        <v>654</v>
      </c>
      <c r="F1738" t="s">
        <v>2620</v>
      </c>
      <c r="G1738" t="str">
        <f>"00229910"</f>
        <v>00229910</v>
      </c>
      <c r="H1738">
        <v>836</v>
      </c>
      <c r="I1738">
        <v>0</v>
      </c>
      <c r="J1738">
        <v>0</v>
      </c>
      <c r="K1738">
        <v>0</v>
      </c>
      <c r="L1738">
        <v>30</v>
      </c>
      <c r="M1738">
        <v>0</v>
      </c>
      <c r="N1738">
        <v>0</v>
      </c>
      <c r="O1738">
        <v>0</v>
      </c>
      <c r="P1738">
        <v>0</v>
      </c>
      <c r="Q1738">
        <v>0</v>
      </c>
      <c r="R1738">
        <v>84</v>
      </c>
      <c r="S1738">
        <v>588</v>
      </c>
      <c r="T1738">
        <v>0</v>
      </c>
      <c r="V1738">
        <v>0</v>
      </c>
      <c r="W1738">
        <v>1454</v>
      </c>
    </row>
    <row r="1739" spans="1:23" x14ac:dyDescent="0.25">
      <c r="H1739">
        <v>703</v>
      </c>
    </row>
    <row r="1740" spans="1:23" x14ac:dyDescent="0.25">
      <c r="A1740">
        <v>867</v>
      </c>
      <c r="B1740">
        <v>238</v>
      </c>
      <c r="C1740" t="s">
        <v>2621</v>
      </c>
      <c r="D1740" t="s">
        <v>2622</v>
      </c>
      <c r="E1740" t="s">
        <v>1678</v>
      </c>
      <c r="F1740" t="s">
        <v>2623</v>
      </c>
      <c r="G1740" t="str">
        <f>"201406005535"</f>
        <v>201406005535</v>
      </c>
      <c r="H1740">
        <v>1067</v>
      </c>
      <c r="I1740">
        <v>0</v>
      </c>
      <c r="J1740">
        <v>50</v>
      </c>
      <c r="K1740">
        <v>0</v>
      </c>
      <c r="L1740">
        <v>0</v>
      </c>
      <c r="M1740">
        <v>0</v>
      </c>
      <c r="N1740">
        <v>0</v>
      </c>
      <c r="O1740">
        <v>0</v>
      </c>
      <c r="P1740">
        <v>0</v>
      </c>
      <c r="Q1740">
        <v>0</v>
      </c>
      <c r="R1740">
        <v>48</v>
      </c>
      <c r="S1740">
        <v>336</v>
      </c>
      <c r="T1740">
        <v>0</v>
      </c>
      <c r="V1740">
        <v>2</v>
      </c>
      <c r="W1740">
        <v>1453</v>
      </c>
    </row>
    <row r="1741" spans="1:23" x14ac:dyDescent="0.25">
      <c r="H1741" t="s">
        <v>26</v>
      </c>
    </row>
    <row r="1742" spans="1:23" x14ac:dyDescent="0.25">
      <c r="A1742">
        <v>868</v>
      </c>
      <c r="B1742">
        <v>1553</v>
      </c>
      <c r="C1742" t="s">
        <v>200</v>
      </c>
      <c r="D1742" t="s">
        <v>273</v>
      </c>
      <c r="E1742" t="s">
        <v>523</v>
      </c>
      <c r="F1742" t="s">
        <v>2624</v>
      </c>
      <c r="G1742" t="str">
        <f>"00073648"</f>
        <v>00073648</v>
      </c>
      <c r="H1742">
        <v>1001</v>
      </c>
      <c r="I1742">
        <v>150</v>
      </c>
      <c r="J1742">
        <v>50</v>
      </c>
      <c r="K1742">
        <v>0</v>
      </c>
      <c r="L1742">
        <v>0</v>
      </c>
      <c r="M1742">
        <v>0</v>
      </c>
      <c r="N1742">
        <v>0</v>
      </c>
      <c r="O1742">
        <v>0</v>
      </c>
      <c r="P1742">
        <v>0</v>
      </c>
      <c r="Q1742">
        <v>0</v>
      </c>
      <c r="R1742">
        <v>36</v>
      </c>
      <c r="S1742">
        <v>252</v>
      </c>
      <c r="T1742">
        <v>0</v>
      </c>
      <c r="V1742">
        <v>0</v>
      </c>
      <c r="W1742">
        <v>1453</v>
      </c>
    </row>
    <row r="1743" spans="1:23" x14ac:dyDescent="0.25">
      <c r="H1743">
        <v>703</v>
      </c>
    </row>
    <row r="1744" spans="1:23" x14ac:dyDescent="0.25">
      <c r="A1744">
        <v>869</v>
      </c>
      <c r="B1744">
        <v>1896</v>
      </c>
      <c r="C1744" t="s">
        <v>2625</v>
      </c>
      <c r="D1744" t="s">
        <v>1147</v>
      </c>
      <c r="E1744" t="s">
        <v>2626</v>
      </c>
      <c r="F1744" t="s">
        <v>2627</v>
      </c>
      <c r="G1744" t="str">
        <f>"201412005080"</f>
        <v>201412005080</v>
      </c>
      <c r="H1744">
        <v>825</v>
      </c>
      <c r="I1744">
        <v>150</v>
      </c>
      <c r="J1744">
        <v>30</v>
      </c>
      <c r="K1744">
        <v>0</v>
      </c>
      <c r="L1744">
        <v>0</v>
      </c>
      <c r="M1744">
        <v>0</v>
      </c>
      <c r="N1744">
        <v>0</v>
      </c>
      <c r="O1744">
        <v>0</v>
      </c>
      <c r="P1744">
        <v>0</v>
      </c>
      <c r="Q1744">
        <v>0</v>
      </c>
      <c r="R1744">
        <v>64</v>
      </c>
      <c r="S1744">
        <v>448</v>
      </c>
      <c r="T1744">
        <v>0</v>
      </c>
      <c r="V1744">
        <v>0</v>
      </c>
      <c r="W1744">
        <v>1453</v>
      </c>
    </row>
    <row r="1745" spans="1:23" x14ac:dyDescent="0.25">
      <c r="H1745">
        <v>703</v>
      </c>
    </row>
    <row r="1746" spans="1:23" x14ac:dyDescent="0.25">
      <c r="A1746">
        <v>870</v>
      </c>
      <c r="B1746">
        <v>1816</v>
      </c>
      <c r="C1746" t="s">
        <v>2628</v>
      </c>
      <c r="D1746" t="s">
        <v>226</v>
      </c>
      <c r="E1746" t="s">
        <v>356</v>
      </c>
      <c r="F1746" t="s">
        <v>2629</v>
      </c>
      <c r="G1746" t="str">
        <f>"201511039201"</f>
        <v>201511039201</v>
      </c>
      <c r="H1746">
        <v>715</v>
      </c>
      <c r="I1746">
        <v>150</v>
      </c>
      <c r="J1746">
        <v>0</v>
      </c>
      <c r="K1746">
        <v>0</v>
      </c>
      <c r="L1746">
        <v>0</v>
      </c>
      <c r="M1746">
        <v>0</v>
      </c>
      <c r="N1746">
        <v>0</v>
      </c>
      <c r="O1746">
        <v>0</v>
      </c>
      <c r="P1746">
        <v>0</v>
      </c>
      <c r="Q1746">
        <v>0</v>
      </c>
      <c r="R1746">
        <v>84</v>
      </c>
      <c r="S1746">
        <v>588</v>
      </c>
      <c r="T1746">
        <v>0</v>
      </c>
      <c r="V1746">
        <v>0</v>
      </c>
      <c r="W1746">
        <v>1453</v>
      </c>
    </row>
    <row r="1747" spans="1:23" x14ac:dyDescent="0.25">
      <c r="H1747">
        <v>703</v>
      </c>
    </row>
    <row r="1748" spans="1:23" x14ac:dyDescent="0.25">
      <c r="A1748">
        <v>871</v>
      </c>
      <c r="B1748">
        <v>2653</v>
      </c>
      <c r="C1748" t="s">
        <v>2630</v>
      </c>
      <c r="D1748" t="s">
        <v>2631</v>
      </c>
      <c r="E1748" t="s">
        <v>2632</v>
      </c>
      <c r="F1748" t="s">
        <v>2633</v>
      </c>
      <c r="G1748" t="str">
        <f>"00192630"</f>
        <v>00192630</v>
      </c>
      <c r="H1748" t="s">
        <v>1420</v>
      </c>
      <c r="I1748">
        <v>0</v>
      </c>
      <c r="J1748">
        <v>0</v>
      </c>
      <c r="K1748">
        <v>0</v>
      </c>
      <c r="L1748">
        <v>0</v>
      </c>
      <c r="M1748">
        <v>0</v>
      </c>
      <c r="N1748">
        <v>0</v>
      </c>
      <c r="O1748">
        <v>0</v>
      </c>
      <c r="P1748">
        <v>0</v>
      </c>
      <c r="Q1748">
        <v>0</v>
      </c>
      <c r="R1748">
        <v>84</v>
      </c>
      <c r="S1748">
        <v>588</v>
      </c>
      <c r="T1748">
        <v>0</v>
      </c>
      <c r="V1748">
        <v>0</v>
      </c>
      <c r="W1748" t="s">
        <v>2634</v>
      </c>
    </row>
    <row r="1749" spans="1:23" x14ac:dyDescent="0.25">
      <c r="H1749">
        <v>703</v>
      </c>
    </row>
    <row r="1750" spans="1:23" x14ac:dyDescent="0.25">
      <c r="A1750">
        <v>872</v>
      </c>
      <c r="B1750">
        <v>1171</v>
      </c>
      <c r="C1750" t="s">
        <v>2635</v>
      </c>
      <c r="D1750" t="s">
        <v>2599</v>
      </c>
      <c r="E1750" t="s">
        <v>1678</v>
      </c>
      <c r="F1750" t="s">
        <v>2636</v>
      </c>
      <c r="G1750" t="str">
        <f>"201511024860"</f>
        <v>201511024860</v>
      </c>
      <c r="H1750" t="s">
        <v>1989</v>
      </c>
      <c r="I1750">
        <v>150</v>
      </c>
      <c r="J1750">
        <v>0</v>
      </c>
      <c r="K1750">
        <v>0</v>
      </c>
      <c r="L1750">
        <v>0</v>
      </c>
      <c r="M1750">
        <v>0</v>
      </c>
      <c r="N1750">
        <v>0</v>
      </c>
      <c r="O1750">
        <v>0</v>
      </c>
      <c r="P1750">
        <v>0</v>
      </c>
      <c r="Q1750">
        <v>0</v>
      </c>
      <c r="R1750">
        <v>70</v>
      </c>
      <c r="S1750">
        <v>490</v>
      </c>
      <c r="T1750">
        <v>0</v>
      </c>
      <c r="V1750">
        <v>1</v>
      </c>
      <c r="W1750" t="s">
        <v>2637</v>
      </c>
    </row>
    <row r="1751" spans="1:23" x14ac:dyDescent="0.25">
      <c r="H1751">
        <v>703</v>
      </c>
    </row>
    <row r="1752" spans="1:23" x14ac:dyDescent="0.25">
      <c r="A1752">
        <v>873</v>
      </c>
      <c r="B1752">
        <v>298</v>
      </c>
      <c r="C1752" t="s">
        <v>2638</v>
      </c>
      <c r="D1752" t="s">
        <v>912</v>
      </c>
      <c r="E1752" t="s">
        <v>2129</v>
      </c>
      <c r="F1752" t="s">
        <v>2639</v>
      </c>
      <c r="G1752" t="str">
        <f>"00145303"</f>
        <v>00145303</v>
      </c>
      <c r="H1752" t="s">
        <v>2186</v>
      </c>
      <c r="I1752">
        <v>0</v>
      </c>
      <c r="J1752">
        <v>0</v>
      </c>
      <c r="K1752">
        <v>0</v>
      </c>
      <c r="L1752">
        <v>0</v>
      </c>
      <c r="M1752">
        <v>0</v>
      </c>
      <c r="N1752">
        <v>0</v>
      </c>
      <c r="O1752">
        <v>0</v>
      </c>
      <c r="P1752">
        <v>0</v>
      </c>
      <c r="Q1752">
        <v>0</v>
      </c>
      <c r="R1752">
        <v>84</v>
      </c>
      <c r="S1752">
        <v>588</v>
      </c>
      <c r="T1752">
        <v>0</v>
      </c>
      <c r="V1752">
        <v>0</v>
      </c>
      <c r="W1752" t="s">
        <v>2640</v>
      </c>
    </row>
    <row r="1753" spans="1:23" x14ac:dyDescent="0.25">
      <c r="H1753">
        <v>703</v>
      </c>
    </row>
    <row r="1754" spans="1:23" x14ac:dyDescent="0.25">
      <c r="A1754">
        <v>874</v>
      </c>
      <c r="B1754">
        <v>2491</v>
      </c>
      <c r="C1754" t="s">
        <v>2588</v>
      </c>
      <c r="D1754" t="s">
        <v>46</v>
      </c>
      <c r="E1754" t="s">
        <v>424</v>
      </c>
      <c r="F1754" t="s">
        <v>2641</v>
      </c>
      <c r="G1754" t="str">
        <f>"00008502"</f>
        <v>00008502</v>
      </c>
      <c r="H1754">
        <v>946</v>
      </c>
      <c r="I1754">
        <v>150</v>
      </c>
      <c r="J1754">
        <v>30</v>
      </c>
      <c r="K1754">
        <v>0</v>
      </c>
      <c r="L1754">
        <v>30</v>
      </c>
      <c r="M1754">
        <v>0</v>
      </c>
      <c r="N1754">
        <v>0</v>
      </c>
      <c r="O1754">
        <v>0</v>
      </c>
      <c r="P1754">
        <v>0</v>
      </c>
      <c r="Q1754">
        <v>0</v>
      </c>
      <c r="R1754">
        <v>42</v>
      </c>
      <c r="S1754">
        <v>294</v>
      </c>
      <c r="T1754">
        <v>0</v>
      </c>
      <c r="V1754">
        <v>0</v>
      </c>
      <c r="W1754">
        <v>1450</v>
      </c>
    </row>
    <row r="1755" spans="1:23" x14ac:dyDescent="0.25">
      <c r="H1755" t="s">
        <v>70</v>
      </c>
    </row>
    <row r="1756" spans="1:23" x14ac:dyDescent="0.25">
      <c r="A1756">
        <v>875</v>
      </c>
      <c r="B1756">
        <v>103</v>
      </c>
      <c r="C1756" t="s">
        <v>2642</v>
      </c>
      <c r="D1756" t="s">
        <v>226</v>
      </c>
      <c r="E1756" t="s">
        <v>2643</v>
      </c>
      <c r="F1756" t="s">
        <v>2644</v>
      </c>
      <c r="G1756" t="str">
        <f>"201406009997"</f>
        <v>201406009997</v>
      </c>
      <c r="H1756">
        <v>792</v>
      </c>
      <c r="I1756">
        <v>0</v>
      </c>
      <c r="J1756">
        <v>70</v>
      </c>
      <c r="K1756">
        <v>0</v>
      </c>
      <c r="L1756">
        <v>0</v>
      </c>
      <c r="M1756">
        <v>0</v>
      </c>
      <c r="N1756">
        <v>0</v>
      </c>
      <c r="O1756">
        <v>0</v>
      </c>
      <c r="P1756">
        <v>0</v>
      </c>
      <c r="Q1756">
        <v>0</v>
      </c>
      <c r="R1756">
        <v>84</v>
      </c>
      <c r="S1756">
        <v>588</v>
      </c>
      <c r="T1756">
        <v>0</v>
      </c>
      <c r="V1756">
        <v>0</v>
      </c>
      <c r="W1756">
        <v>1450</v>
      </c>
    </row>
    <row r="1757" spans="1:23" x14ac:dyDescent="0.25">
      <c r="H1757">
        <v>703</v>
      </c>
    </row>
    <row r="1758" spans="1:23" x14ac:dyDescent="0.25">
      <c r="A1758">
        <v>876</v>
      </c>
      <c r="B1758">
        <v>2626</v>
      </c>
      <c r="C1758" t="s">
        <v>1165</v>
      </c>
      <c r="D1758" t="s">
        <v>28</v>
      </c>
      <c r="E1758" t="s">
        <v>322</v>
      </c>
      <c r="F1758" t="s">
        <v>2645</v>
      </c>
      <c r="G1758" t="str">
        <f>"00132718"</f>
        <v>00132718</v>
      </c>
      <c r="H1758" t="s">
        <v>1514</v>
      </c>
      <c r="I1758">
        <v>0</v>
      </c>
      <c r="J1758">
        <v>30</v>
      </c>
      <c r="K1758">
        <v>0</v>
      </c>
      <c r="L1758">
        <v>0</v>
      </c>
      <c r="M1758">
        <v>0</v>
      </c>
      <c r="N1758">
        <v>0</v>
      </c>
      <c r="O1758">
        <v>0</v>
      </c>
      <c r="P1758">
        <v>0</v>
      </c>
      <c r="Q1758">
        <v>0</v>
      </c>
      <c r="R1758">
        <v>84</v>
      </c>
      <c r="S1758">
        <v>588</v>
      </c>
      <c r="T1758">
        <v>0</v>
      </c>
      <c r="V1758">
        <v>2</v>
      </c>
      <c r="W1758" t="s">
        <v>2646</v>
      </c>
    </row>
    <row r="1759" spans="1:23" x14ac:dyDescent="0.25">
      <c r="H1759">
        <v>703</v>
      </c>
    </row>
    <row r="1760" spans="1:23" x14ac:dyDescent="0.25">
      <c r="A1760">
        <v>877</v>
      </c>
      <c r="B1760">
        <v>2308</v>
      </c>
      <c r="C1760" t="s">
        <v>2588</v>
      </c>
      <c r="D1760" t="s">
        <v>577</v>
      </c>
      <c r="E1760" t="s">
        <v>21</v>
      </c>
      <c r="F1760" t="s">
        <v>2647</v>
      </c>
      <c r="G1760" t="str">
        <f>"00164846"</f>
        <v>00164846</v>
      </c>
      <c r="H1760">
        <v>1045</v>
      </c>
      <c r="I1760">
        <v>150</v>
      </c>
      <c r="J1760">
        <v>0</v>
      </c>
      <c r="K1760">
        <v>0</v>
      </c>
      <c r="L1760">
        <v>0</v>
      </c>
      <c r="M1760">
        <v>0</v>
      </c>
      <c r="N1760">
        <v>0</v>
      </c>
      <c r="O1760">
        <v>0</v>
      </c>
      <c r="P1760">
        <v>0</v>
      </c>
      <c r="Q1760">
        <v>0</v>
      </c>
      <c r="R1760">
        <v>36</v>
      </c>
      <c r="S1760">
        <v>252</v>
      </c>
      <c r="T1760">
        <v>0</v>
      </c>
      <c r="V1760">
        <v>1</v>
      </c>
      <c r="W1760">
        <v>1447</v>
      </c>
    </row>
    <row r="1761" spans="1:23" x14ac:dyDescent="0.25">
      <c r="H1761">
        <v>703</v>
      </c>
    </row>
    <row r="1762" spans="1:23" x14ac:dyDescent="0.25">
      <c r="A1762">
        <v>878</v>
      </c>
      <c r="B1762">
        <v>2137</v>
      </c>
      <c r="C1762" t="s">
        <v>2648</v>
      </c>
      <c r="D1762" t="s">
        <v>112</v>
      </c>
      <c r="E1762" t="s">
        <v>53</v>
      </c>
      <c r="F1762" t="s">
        <v>2649</v>
      </c>
      <c r="G1762" t="str">
        <f>"201511043097"</f>
        <v>201511043097</v>
      </c>
      <c r="H1762" t="s">
        <v>694</v>
      </c>
      <c r="I1762">
        <v>0</v>
      </c>
      <c r="J1762">
        <v>0</v>
      </c>
      <c r="K1762">
        <v>0</v>
      </c>
      <c r="L1762">
        <v>0</v>
      </c>
      <c r="M1762">
        <v>0</v>
      </c>
      <c r="N1762">
        <v>0</v>
      </c>
      <c r="O1762">
        <v>0</v>
      </c>
      <c r="P1762">
        <v>0</v>
      </c>
      <c r="Q1762">
        <v>0</v>
      </c>
      <c r="R1762">
        <v>75</v>
      </c>
      <c r="S1762">
        <v>525</v>
      </c>
      <c r="T1762">
        <v>0</v>
      </c>
      <c r="V1762">
        <v>0</v>
      </c>
      <c r="W1762" t="s">
        <v>2650</v>
      </c>
    </row>
    <row r="1763" spans="1:23" x14ac:dyDescent="0.25">
      <c r="H1763">
        <v>703</v>
      </c>
    </row>
    <row r="1764" spans="1:23" x14ac:dyDescent="0.25">
      <c r="A1764">
        <v>879</v>
      </c>
      <c r="B1764">
        <v>2361</v>
      </c>
      <c r="C1764" t="s">
        <v>2651</v>
      </c>
      <c r="D1764" t="s">
        <v>279</v>
      </c>
      <c r="E1764" t="s">
        <v>15</v>
      </c>
      <c r="F1764" t="s">
        <v>2652</v>
      </c>
      <c r="G1764" t="str">
        <f>"201406013572"</f>
        <v>201406013572</v>
      </c>
      <c r="H1764" t="s">
        <v>202</v>
      </c>
      <c r="I1764">
        <v>0</v>
      </c>
      <c r="J1764">
        <v>70</v>
      </c>
      <c r="K1764">
        <v>0</v>
      </c>
      <c r="L1764">
        <v>0</v>
      </c>
      <c r="M1764">
        <v>0</v>
      </c>
      <c r="N1764">
        <v>0</v>
      </c>
      <c r="O1764">
        <v>0</v>
      </c>
      <c r="P1764">
        <v>0</v>
      </c>
      <c r="Q1764">
        <v>0</v>
      </c>
      <c r="R1764">
        <v>56</v>
      </c>
      <c r="S1764">
        <v>392</v>
      </c>
      <c r="T1764">
        <v>0</v>
      </c>
      <c r="V1764">
        <v>0</v>
      </c>
      <c r="W1764" t="s">
        <v>2653</v>
      </c>
    </row>
    <row r="1765" spans="1:23" x14ac:dyDescent="0.25">
      <c r="H1765">
        <v>703</v>
      </c>
    </row>
    <row r="1766" spans="1:23" x14ac:dyDescent="0.25">
      <c r="A1766">
        <v>880</v>
      </c>
      <c r="B1766">
        <v>2578</v>
      </c>
      <c r="C1766" t="s">
        <v>2654</v>
      </c>
      <c r="D1766" t="s">
        <v>40</v>
      </c>
      <c r="E1766" t="s">
        <v>167</v>
      </c>
      <c r="F1766" t="s">
        <v>2655</v>
      </c>
      <c r="G1766" t="str">
        <f>"201511030950"</f>
        <v>201511030950</v>
      </c>
      <c r="H1766" t="s">
        <v>2656</v>
      </c>
      <c r="I1766">
        <v>0</v>
      </c>
      <c r="J1766">
        <v>0</v>
      </c>
      <c r="K1766">
        <v>0</v>
      </c>
      <c r="L1766">
        <v>0</v>
      </c>
      <c r="M1766">
        <v>0</v>
      </c>
      <c r="N1766">
        <v>0</v>
      </c>
      <c r="O1766">
        <v>0</v>
      </c>
      <c r="P1766">
        <v>0</v>
      </c>
      <c r="Q1766">
        <v>0</v>
      </c>
      <c r="R1766">
        <v>52</v>
      </c>
      <c r="S1766">
        <v>364</v>
      </c>
      <c r="T1766">
        <v>0</v>
      </c>
      <c r="V1766">
        <v>0</v>
      </c>
      <c r="W1766" t="s">
        <v>2657</v>
      </c>
    </row>
    <row r="1767" spans="1:23" x14ac:dyDescent="0.25">
      <c r="H1767">
        <v>703</v>
      </c>
    </row>
    <row r="1768" spans="1:23" x14ac:dyDescent="0.25">
      <c r="A1768">
        <v>881</v>
      </c>
      <c r="B1768">
        <v>1210</v>
      </c>
      <c r="C1768" t="s">
        <v>2658</v>
      </c>
      <c r="D1768" t="s">
        <v>527</v>
      </c>
      <c r="E1768" t="s">
        <v>322</v>
      </c>
      <c r="F1768" t="s">
        <v>2659</v>
      </c>
      <c r="G1768" t="str">
        <f>"00138333"</f>
        <v>00138333</v>
      </c>
      <c r="H1768">
        <v>858</v>
      </c>
      <c r="I1768">
        <v>0</v>
      </c>
      <c r="J1768">
        <v>0</v>
      </c>
      <c r="K1768">
        <v>0</v>
      </c>
      <c r="L1768">
        <v>0</v>
      </c>
      <c r="M1768">
        <v>0</v>
      </c>
      <c r="N1768">
        <v>0</v>
      </c>
      <c r="O1768">
        <v>0</v>
      </c>
      <c r="P1768">
        <v>0</v>
      </c>
      <c r="Q1768">
        <v>0</v>
      </c>
      <c r="R1768">
        <v>84</v>
      </c>
      <c r="S1768">
        <v>588</v>
      </c>
      <c r="T1768">
        <v>0</v>
      </c>
      <c r="V1768">
        <v>0</v>
      </c>
      <c r="W1768">
        <v>1446</v>
      </c>
    </row>
    <row r="1769" spans="1:23" x14ac:dyDescent="0.25">
      <c r="H1769">
        <v>703</v>
      </c>
    </row>
    <row r="1770" spans="1:23" x14ac:dyDescent="0.25">
      <c r="A1770">
        <v>882</v>
      </c>
      <c r="B1770">
        <v>689</v>
      </c>
      <c r="C1770" t="s">
        <v>2660</v>
      </c>
      <c r="D1770" t="s">
        <v>2421</v>
      </c>
      <c r="E1770" t="s">
        <v>109</v>
      </c>
      <c r="F1770" t="s">
        <v>2661</v>
      </c>
      <c r="G1770" t="str">
        <f>"00140313"</f>
        <v>00140313</v>
      </c>
      <c r="H1770">
        <v>825</v>
      </c>
      <c r="I1770">
        <v>150</v>
      </c>
      <c r="J1770">
        <v>30</v>
      </c>
      <c r="K1770">
        <v>0</v>
      </c>
      <c r="L1770">
        <v>0</v>
      </c>
      <c r="M1770">
        <v>0</v>
      </c>
      <c r="N1770">
        <v>0</v>
      </c>
      <c r="O1770">
        <v>0</v>
      </c>
      <c r="P1770">
        <v>0</v>
      </c>
      <c r="Q1770">
        <v>0</v>
      </c>
      <c r="R1770">
        <v>63</v>
      </c>
      <c r="S1770">
        <v>441</v>
      </c>
      <c r="T1770">
        <v>0</v>
      </c>
      <c r="V1770">
        <v>0</v>
      </c>
      <c r="W1770">
        <v>1446</v>
      </c>
    </row>
    <row r="1771" spans="1:23" x14ac:dyDescent="0.25">
      <c r="H1771">
        <v>703</v>
      </c>
    </row>
    <row r="1772" spans="1:23" x14ac:dyDescent="0.25">
      <c r="A1772">
        <v>883</v>
      </c>
      <c r="B1772">
        <v>2938</v>
      </c>
      <c r="C1772" t="s">
        <v>2662</v>
      </c>
      <c r="D1772" t="s">
        <v>28</v>
      </c>
      <c r="E1772" t="s">
        <v>91</v>
      </c>
      <c r="F1772" t="s">
        <v>2663</v>
      </c>
      <c r="G1772" t="str">
        <f>"201406015086"</f>
        <v>201406015086</v>
      </c>
      <c r="H1772" t="s">
        <v>851</v>
      </c>
      <c r="I1772">
        <v>0</v>
      </c>
      <c r="J1772">
        <v>0</v>
      </c>
      <c r="K1772">
        <v>0</v>
      </c>
      <c r="L1772">
        <v>30</v>
      </c>
      <c r="M1772">
        <v>0</v>
      </c>
      <c r="N1772">
        <v>0</v>
      </c>
      <c r="O1772">
        <v>0</v>
      </c>
      <c r="P1772">
        <v>0</v>
      </c>
      <c r="Q1772">
        <v>0</v>
      </c>
      <c r="R1772">
        <v>47</v>
      </c>
      <c r="S1772">
        <v>329</v>
      </c>
      <c r="T1772">
        <v>0</v>
      </c>
      <c r="V1772">
        <v>0</v>
      </c>
      <c r="W1772" t="s">
        <v>2664</v>
      </c>
    </row>
    <row r="1773" spans="1:23" x14ac:dyDescent="0.25">
      <c r="H1773" t="s">
        <v>26</v>
      </c>
    </row>
    <row r="1774" spans="1:23" x14ac:dyDescent="0.25">
      <c r="A1774">
        <v>884</v>
      </c>
      <c r="B1774">
        <v>450</v>
      </c>
      <c r="C1774" t="s">
        <v>2665</v>
      </c>
      <c r="D1774" t="s">
        <v>2666</v>
      </c>
      <c r="E1774" t="s">
        <v>592</v>
      </c>
      <c r="F1774" t="s">
        <v>2667</v>
      </c>
      <c r="G1774" t="str">
        <f>"200712001960"</f>
        <v>200712001960</v>
      </c>
      <c r="H1774" t="s">
        <v>1097</v>
      </c>
      <c r="I1774">
        <v>0</v>
      </c>
      <c r="J1774">
        <v>30</v>
      </c>
      <c r="K1774">
        <v>0</v>
      </c>
      <c r="L1774">
        <v>0</v>
      </c>
      <c r="M1774">
        <v>0</v>
      </c>
      <c r="N1774">
        <v>0</v>
      </c>
      <c r="O1774">
        <v>0</v>
      </c>
      <c r="P1774">
        <v>0</v>
      </c>
      <c r="Q1774">
        <v>0</v>
      </c>
      <c r="R1774">
        <v>57</v>
      </c>
      <c r="S1774">
        <v>399</v>
      </c>
      <c r="T1774">
        <v>0</v>
      </c>
      <c r="V1774">
        <v>0</v>
      </c>
      <c r="W1774" t="s">
        <v>2668</v>
      </c>
    </row>
    <row r="1775" spans="1:23" x14ac:dyDescent="0.25">
      <c r="H1775">
        <v>703</v>
      </c>
    </row>
    <row r="1776" spans="1:23" x14ac:dyDescent="0.25">
      <c r="A1776">
        <v>885</v>
      </c>
      <c r="B1776">
        <v>2965</v>
      </c>
      <c r="C1776" t="s">
        <v>2669</v>
      </c>
      <c r="D1776" t="s">
        <v>248</v>
      </c>
      <c r="E1776" t="s">
        <v>15</v>
      </c>
      <c r="F1776" t="s">
        <v>2670</v>
      </c>
      <c r="G1776" t="str">
        <f>"00084431"</f>
        <v>00084431</v>
      </c>
      <c r="H1776">
        <v>825</v>
      </c>
      <c r="I1776">
        <v>0</v>
      </c>
      <c r="J1776">
        <v>30</v>
      </c>
      <c r="K1776">
        <v>0</v>
      </c>
      <c r="L1776">
        <v>0</v>
      </c>
      <c r="M1776">
        <v>0</v>
      </c>
      <c r="N1776">
        <v>0</v>
      </c>
      <c r="O1776">
        <v>0</v>
      </c>
      <c r="P1776">
        <v>0</v>
      </c>
      <c r="Q1776">
        <v>0</v>
      </c>
      <c r="R1776">
        <v>84</v>
      </c>
      <c r="S1776">
        <v>588</v>
      </c>
      <c r="T1776">
        <v>0</v>
      </c>
      <c r="V1776">
        <v>0</v>
      </c>
      <c r="W1776">
        <v>1443</v>
      </c>
    </row>
    <row r="1777" spans="1:23" x14ac:dyDescent="0.25">
      <c r="H1777">
        <v>703</v>
      </c>
    </row>
    <row r="1778" spans="1:23" x14ac:dyDescent="0.25">
      <c r="A1778">
        <v>886</v>
      </c>
      <c r="B1778">
        <v>55</v>
      </c>
      <c r="C1778" t="s">
        <v>2671</v>
      </c>
      <c r="D1778" t="s">
        <v>273</v>
      </c>
      <c r="E1778" t="s">
        <v>41</v>
      </c>
      <c r="F1778" t="s">
        <v>2672</v>
      </c>
      <c r="G1778" t="str">
        <f>"00230632"</f>
        <v>00230632</v>
      </c>
      <c r="H1778">
        <v>825</v>
      </c>
      <c r="I1778">
        <v>0</v>
      </c>
      <c r="J1778">
        <v>30</v>
      </c>
      <c r="K1778">
        <v>0</v>
      </c>
      <c r="L1778">
        <v>0</v>
      </c>
      <c r="M1778">
        <v>0</v>
      </c>
      <c r="N1778">
        <v>0</v>
      </c>
      <c r="O1778">
        <v>0</v>
      </c>
      <c r="P1778">
        <v>0</v>
      </c>
      <c r="Q1778">
        <v>0</v>
      </c>
      <c r="R1778">
        <v>84</v>
      </c>
      <c r="S1778">
        <v>588</v>
      </c>
      <c r="T1778">
        <v>0</v>
      </c>
      <c r="V1778">
        <v>0</v>
      </c>
      <c r="W1778">
        <v>1443</v>
      </c>
    </row>
    <row r="1779" spans="1:23" x14ac:dyDescent="0.25">
      <c r="H1779">
        <v>703</v>
      </c>
    </row>
    <row r="1780" spans="1:23" x14ac:dyDescent="0.25">
      <c r="A1780">
        <v>887</v>
      </c>
      <c r="B1780">
        <v>1672</v>
      </c>
      <c r="C1780" t="s">
        <v>2673</v>
      </c>
      <c r="D1780" t="s">
        <v>46</v>
      </c>
      <c r="E1780" t="s">
        <v>947</v>
      </c>
      <c r="F1780" t="s">
        <v>2674</v>
      </c>
      <c r="G1780" t="str">
        <f>"201511018096"</f>
        <v>201511018096</v>
      </c>
      <c r="H1780">
        <v>825</v>
      </c>
      <c r="I1780">
        <v>0</v>
      </c>
      <c r="J1780">
        <v>30</v>
      </c>
      <c r="K1780">
        <v>0</v>
      </c>
      <c r="L1780">
        <v>0</v>
      </c>
      <c r="M1780">
        <v>0</v>
      </c>
      <c r="N1780">
        <v>0</v>
      </c>
      <c r="O1780">
        <v>0</v>
      </c>
      <c r="P1780">
        <v>0</v>
      </c>
      <c r="Q1780">
        <v>0</v>
      </c>
      <c r="R1780">
        <v>84</v>
      </c>
      <c r="S1780">
        <v>588</v>
      </c>
      <c r="T1780">
        <v>0</v>
      </c>
      <c r="V1780">
        <v>0</v>
      </c>
      <c r="W1780">
        <v>1443</v>
      </c>
    </row>
    <row r="1781" spans="1:23" x14ac:dyDescent="0.25">
      <c r="H1781">
        <v>703</v>
      </c>
    </row>
    <row r="1782" spans="1:23" x14ac:dyDescent="0.25">
      <c r="A1782">
        <v>888</v>
      </c>
      <c r="B1782">
        <v>1235</v>
      </c>
      <c r="C1782" t="s">
        <v>2675</v>
      </c>
      <c r="D1782" t="s">
        <v>140</v>
      </c>
      <c r="E1782" t="s">
        <v>58</v>
      </c>
      <c r="F1782" t="s">
        <v>2676</v>
      </c>
      <c r="G1782" t="str">
        <f>"00118523"</f>
        <v>00118523</v>
      </c>
      <c r="H1782">
        <v>825</v>
      </c>
      <c r="I1782">
        <v>0</v>
      </c>
      <c r="J1782">
        <v>30</v>
      </c>
      <c r="K1782">
        <v>0</v>
      </c>
      <c r="L1782">
        <v>0</v>
      </c>
      <c r="M1782">
        <v>0</v>
      </c>
      <c r="N1782">
        <v>0</v>
      </c>
      <c r="O1782">
        <v>0</v>
      </c>
      <c r="P1782">
        <v>0</v>
      </c>
      <c r="Q1782">
        <v>0</v>
      </c>
      <c r="R1782">
        <v>84</v>
      </c>
      <c r="S1782">
        <v>588</v>
      </c>
      <c r="T1782">
        <v>0</v>
      </c>
      <c r="V1782">
        <v>0</v>
      </c>
      <c r="W1782">
        <v>1443</v>
      </c>
    </row>
    <row r="1783" spans="1:23" x14ac:dyDescent="0.25">
      <c r="H1783" t="s">
        <v>70</v>
      </c>
    </row>
    <row r="1784" spans="1:23" x14ac:dyDescent="0.25">
      <c r="A1784">
        <v>889</v>
      </c>
      <c r="B1784">
        <v>1337</v>
      </c>
      <c r="C1784" t="s">
        <v>180</v>
      </c>
      <c r="D1784" t="s">
        <v>2677</v>
      </c>
      <c r="E1784" t="s">
        <v>2678</v>
      </c>
      <c r="F1784" t="s">
        <v>2679</v>
      </c>
      <c r="G1784" t="str">
        <f>"201402006355"</f>
        <v>201402006355</v>
      </c>
      <c r="H1784">
        <v>605</v>
      </c>
      <c r="I1784">
        <v>150</v>
      </c>
      <c r="J1784">
        <v>30</v>
      </c>
      <c r="K1784">
        <v>0</v>
      </c>
      <c r="L1784">
        <v>70</v>
      </c>
      <c r="M1784">
        <v>0</v>
      </c>
      <c r="N1784">
        <v>0</v>
      </c>
      <c r="O1784">
        <v>0</v>
      </c>
      <c r="P1784">
        <v>0</v>
      </c>
      <c r="Q1784">
        <v>0</v>
      </c>
      <c r="R1784">
        <v>84</v>
      </c>
      <c r="S1784">
        <v>588</v>
      </c>
      <c r="T1784">
        <v>0</v>
      </c>
      <c r="V1784">
        <v>0</v>
      </c>
      <c r="W1784">
        <v>1443</v>
      </c>
    </row>
    <row r="1785" spans="1:23" x14ac:dyDescent="0.25">
      <c r="H1785" t="s">
        <v>26</v>
      </c>
    </row>
    <row r="1786" spans="1:23" x14ac:dyDescent="0.25">
      <c r="A1786">
        <v>890</v>
      </c>
      <c r="B1786">
        <v>29</v>
      </c>
      <c r="C1786" t="s">
        <v>2680</v>
      </c>
      <c r="D1786" t="s">
        <v>293</v>
      </c>
      <c r="E1786" t="s">
        <v>2681</v>
      </c>
      <c r="F1786" t="s">
        <v>2682</v>
      </c>
      <c r="G1786" t="str">
        <f>"00192194"</f>
        <v>00192194</v>
      </c>
      <c r="H1786" t="s">
        <v>1690</v>
      </c>
      <c r="I1786">
        <v>0</v>
      </c>
      <c r="J1786">
        <v>0</v>
      </c>
      <c r="K1786">
        <v>0</v>
      </c>
      <c r="L1786">
        <v>0</v>
      </c>
      <c r="M1786">
        <v>0</v>
      </c>
      <c r="N1786">
        <v>0</v>
      </c>
      <c r="O1786">
        <v>0</v>
      </c>
      <c r="P1786">
        <v>0</v>
      </c>
      <c r="Q1786">
        <v>0</v>
      </c>
      <c r="R1786">
        <v>84</v>
      </c>
      <c r="S1786">
        <v>588</v>
      </c>
      <c r="T1786">
        <v>0</v>
      </c>
      <c r="V1786">
        <v>0</v>
      </c>
      <c r="W1786" t="s">
        <v>2683</v>
      </c>
    </row>
    <row r="1787" spans="1:23" x14ac:dyDescent="0.25">
      <c r="H1787">
        <v>703</v>
      </c>
    </row>
    <row r="1788" spans="1:23" x14ac:dyDescent="0.25">
      <c r="A1788">
        <v>891</v>
      </c>
      <c r="B1788">
        <v>1109</v>
      </c>
      <c r="C1788" t="s">
        <v>2684</v>
      </c>
      <c r="D1788" t="s">
        <v>140</v>
      </c>
      <c r="E1788" t="s">
        <v>58</v>
      </c>
      <c r="F1788">
        <v>654919</v>
      </c>
      <c r="G1788" t="str">
        <f>"00230168"</f>
        <v>00230168</v>
      </c>
      <c r="H1788" t="s">
        <v>1690</v>
      </c>
      <c r="I1788">
        <v>0</v>
      </c>
      <c r="J1788">
        <v>0</v>
      </c>
      <c r="K1788">
        <v>0</v>
      </c>
      <c r="L1788">
        <v>0</v>
      </c>
      <c r="M1788">
        <v>0</v>
      </c>
      <c r="N1788">
        <v>0</v>
      </c>
      <c r="O1788">
        <v>0</v>
      </c>
      <c r="P1788">
        <v>0</v>
      </c>
      <c r="Q1788">
        <v>0</v>
      </c>
      <c r="R1788">
        <v>84</v>
      </c>
      <c r="S1788">
        <v>588</v>
      </c>
      <c r="T1788">
        <v>0</v>
      </c>
      <c r="V1788">
        <v>0</v>
      </c>
      <c r="W1788" t="s">
        <v>2683</v>
      </c>
    </row>
    <row r="1789" spans="1:23" x14ac:dyDescent="0.25">
      <c r="H1789">
        <v>703</v>
      </c>
    </row>
    <row r="1790" spans="1:23" x14ac:dyDescent="0.25">
      <c r="A1790">
        <v>892</v>
      </c>
      <c r="B1790">
        <v>2594</v>
      </c>
      <c r="C1790" t="s">
        <v>2685</v>
      </c>
      <c r="D1790" t="s">
        <v>2686</v>
      </c>
      <c r="E1790" t="s">
        <v>2687</v>
      </c>
      <c r="F1790" t="s">
        <v>2688</v>
      </c>
      <c r="G1790" t="str">
        <f>"201405000983"</f>
        <v>201405000983</v>
      </c>
      <c r="H1790" t="s">
        <v>363</v>
      </c>
      <c r="I1790">
        <v>0</v>
      </c>
      <c r="J1790">
        <v>70</v>
      </c>
      <c r="K1790">
        <v>0</v>
      </c>
      <c r="L1790">
        <v>0</v>
      </c>
      <c r="M1790">
        <v>0</v>
      </c>
      <c r="N1790">
        <v>0</v>
      </c>
      <c r="O1790">
        <v>0</v>
      </c>
      <c r="P1790">
        <v>0</v>
      </c>
      <c r="Q1790">
        <v>0</v>
      </c>
      <c r="R1790">
        <v>54</v>
      </c>
      <c r="S1790">
        <v>378</v>
      </c>
      <c r="T1790">
        <v>0</v>
      </c>
      <c r="V1790">
        <v>0</v>
      </c>
      <c r="W1790" t="s">
        <v>2689</v>
      </c>
    </row>
    <row r="1791" spans="1:23" x14ac:dyDescent="0.25">
      <c r="H1791">
        <v>703</v>
      </c>
    </row>
    <row r="1792" spans="1:23" x14ac:dyDescent="0.25">
      <c r="A1792">
        <v>893</v>
      </c>
      <c r="B1792">
        <v>1331</v>
      </c>
      <c r="C1792" t="s">
        <v>2690</v>
      </c>
      <c r="D1792" t="s">
        <v>57</v>
      </c>
      <c r="E1792" t="s">
        <v>76</v>
      </c>
      <c r="F1792" t="s">
        <v>2691</v>
      </c>
      <c r="G1792" t="str">
        <f>"00225995"</f>
        <v>00225995</v>
      </c>
      <c r="H1792" t="s">
        <v>1420</v>
      </c>
      <c r="I1792">
        <v>150</v>
      </c>
      <c r="J1792">
        <v>0</v>
      </c>
      <c r="K1792">
        <v>0</v>
      </c>
      <c r="L1792">
        <v>0</v>
      </c>
      <c r="M1792">
        <v>0</v>
      </c>
      <c r="N1792">
        <v>0</v>
      </c>
      <c r="O1792">
        <v>0</v>
      </c>
      <c r="P1792">
        <v>0</v>
      </c>
      <c r="Q1792">
        <v>0</v>
      </c>
      <c r="R1792">
        <v>61</v>
      </c>
      <c r="S1792">
        <v>427</v>
      </c>
      <c r="T1792">
        <v>0</v>
      </c>
      <c r="V1792">
        <v>0</v>
      </c>
      <c r="W1792" t="s">
        <v>2692</v>
      </c>
    </row>
    <row r="1793" spans="1:23" x14ac:dyDescent="0.25">
      <c r="H1793">
        <v>703</v>
      </c>
    </row>
    <row r="1794" spans="1:23" x14ac:dyDescent="0.25">
      <c r="A1794">
        <v>894</v>
      </c>
      <c r="B1794">
        <v>1610</v>
      </c>
      <c r="C1794" t="s">
        <v>2693</v>
      </c>
      <c r="D1794" t="s">
        <v>2694</v>
      </c>
      <c r="E1794" t="s">
        <v>2695</v>
      </c>
      <c r="F1794" t="s">
        <v>2696</v>
      </c>
      <c r="G1794" t="str">
        <f>"201511038618"</f>
        <v>201511038618</v>
      </c>
      <c r="H1794" t="s">
        <v>2697</v>
      </c>
      <c r="I1794">
        <v>150</v>
      </c>
      <c r="J1794">
        <v>0</v>
      </c>
      <c r="K1794">
        <v>0</v>
      </c>
      <c r="L1794">
        <v>30</v>
      </c>
      <c r="M1794">
        <v>0</v>
      </c>
      <c r="N1794">
        <v>0</v>
      </c>
      <c r="O1794">
        <v>0</v>
      </c>
      <c r="P1794">
        <v>0</v>
      </c>
      <c r="Q1794">
        <v>0</v>
      </c>
      <c r="R1794">
        <v>46</v>
      </c>
      <c r="S1794">
        <v>322</v>
      </c>
      <c r="T1794">
        <v>0</v>
      </c>
      <c r="V1794">
        <v>0</v>
      </c>
      <c r="W1794" t="s">
        <v>2698</v>
      </c>
    </row>
    <row r="1795" spans="1:23" x14ac:dyDescent="0.25">
      <c r="H1795">
        <v>703</v>
      </c>
    </row>
    <row r="1796" spans="1:23" x14ac:dyDescent="0.25">
      <c r="A1796">
        <v>895</v>
      </c>
      <c r="B1796">
        <v>955</v>
      </c>
      <c r="C1796" t="s">
        <v>2699</v>
      </c>
      <c r="D1796" t="s">
        <v>46</v>
      </c>
      <c r="E1796" t="s">
        <v>109</v>
      </c>
      <c r="F1796" t="s">
        <v>2700</v>
      </c>
      <c r="G1796" t="str">
        <f>"00146851"</f>
        <v>00146851</v>
      </c>
      <c r="H1796">
        <v>781</v>
      </c>
      <c r="I1796">
        <v>0</v>
      </c>
      <c r="J1796">
        <v>70</v>
      </c>
      <c r="K1796">
        <v>0</v>
      </c>
      <c r="L1796">
        <v>0</v>
      </c>
      <c r="M1796">
        <v>0</v>
      </c>
      <c r="N1796">
        <v>0</v>
      </c>
      <c r="O1796">
        <v>0</v>
      </c>
      <c r="P1796">
        <v>0</v>
      </c>
      <c r="Q1796">
        <v>0</v>
      </c>
      <c r="R1796">
        <v>84</v>
      </c>
      <c r="S1796">
        <v>588</v>
      </c>
      <c r="T1796">
        <v>0</v>
      </c>
      <c r="V1796">
        <v>0</v>
      </c>
      <c r="W1796">
        <v>1439</v>
      </c>
    </row>
    <row r="1797" spans="1:23" x14ac:dyDescent="0.25">
      <c r="H1797" t="s">
        <v>26</v>
      </c>
    </row>
    <row r="1798" spans="1:23" x14ac:dyDescent="0.25">
      <c r="A1798">
        <v>896</v>
      </c>
      <c r="B1798">
        <v>2964</v>
      </c>
      <c r="C1798" t="s">
        <v>2701</v>
      </c>
      <c r="D1798" t="s">
        <v>40</v>
      </c>
      <c r="E1798" t="s">
        <v>53</v>
      </c>
      <c r="F1798" t="s">
        <v>2702</v>
      </c>
      <c r="G1798" t="str">
        <f>"201402010962"</f>
        <v>201402010962</v>
      </c>
      <c r="H1798" t="s">
        <v>1583</v>
      </c>
      <c r="I1798">
        <v>0</v>
      </c>
      <c r="J1798">
        <v>30</v>
      </c>
      <c r="K1798">
        <v>0</v>
      </c>
      <c r="L1798">
        <v>0</v>
      </c>
      <c r="M1798">
        <v>0</v>
      </c>
      <c r="N1798">
        <v>0</v>
      </c>
      <c r="O1798">
        <v>0</v>
      </c>
      <c r="P1798">
        <v>0</v>
      </c>
      <c r="Q1798">
        <v>0</v>
      </c>
      <c r="R1798">
        <v>82</v>
      </c>
      <c r="S1798">
        <v>574</v>
      </c>
      <c r="T1798">
        <v>0</v>
      </c>
      <c r="V1798">
        <v>1</v>
      </c>
      <c r="W1798" t="s">
        <v>2703</v>
      </c>
    </row>
    <row r="1799" spans="1:23" x14ac:dyDescent="0.25">
      <c r="H1799">
        <v>703</v>
      </c>
    </row>
    <row r="1800" spans="1:23" x14ac:dyDescent="0.25">
      <c r="A1800">
        <v>897</v>
      </c>
      <c r="B1800">
        <v>374</v>
      </c>
      <c r="C1800" t="s">
        <v>2704</v>
      </c>
      <c r="D1800" t="s">
        <v>273</v>
      </c>
      <c r="E1800" t="s">
        <v>41</v>
      </c>
      <c r="F1800" t="s">
        <v>2705</v>
      </c>
      <c r="G1800" t="str">
        <f>"200804000346"</f>
        <v>200804000346</v>
      </c>
      <c r="H1800" t="s">
        <v>281</v>
      </c>
      <c r="I1800">
        <v>150</v>
      </c>
      <c r="J1800">
        <v>30</v>
      </c>
      <c r="K1800">
        <v>0</v>
      </c>
      <c r="L1800">
        <v>50</v>
      </c>
      <c r="M1800">
        <v>0</v>
      </c>
      <c r="N1800">
        <v>0</v>
      </c>
      <c r="O1800">
        <v>0</v>
      </c>
      <c r="P1800">
        <v>0</v>
      </c>
      <c r="Q1800">
        <v>0</v>
      </c>
      <c r="R1800">
        <v>24</v>
      </c>
      <c r="S1800">
        <v>168</v>
      </c>
      <c r="T1800">
        <v>0</v>
      </c>
      <c r="V1800">
        <v>2</v>
      </c>
      <c r="W1800" t="s">
        <v>2706</v>
      </c>
    </row>
    <row r="1801" spans="1:23" x14ac:dyDescent="0.25">
      <c r="H1801" t="s">
        <v>70</v>
      </c>
    </row>
    <row r="1802" spans="1:23" x14ac:dyDescent="0.25">
      <c r="A1802">
        <v>898</v>
      </c>
      <c r="B1802">
        <v>1664</v>
      </c>
      <c r="C1802" t="s">
        <v>2680</v>
      </c>
      <c r="D1802" t="s">
        <v>32</v>
      </c>
      <c r="E1802" t="s">
        <v>53</v>
      </c>
      <c r="F1802" t="s">
        <v>2707</v>
      </c>
      <c r="G1802" t="str">
        <f>"00140841"</f>
        <v>00140841</v>
      </c>
      <c r="H1802" t="s">
        <v>531</v>
      </c>
      <c r="I1802">
        <v>0</v>
      </c>
      <c r="J1802">
        <v>0</v>
      </c>
      <c r="K1802">
        <v>0</v>
      </c>
      <c r="L1802">
        <v>0</v>
      </c>
      <c r="M1802">
        <v>0</v>
      </c>
      <c r="N1802">
        <v>0</v>
      </c>
      <c r="O1802">
        <v>0</v>
      </c>
      <c r="P1802">
        <v>0</v>
      </c>
      <c r="Q1802">
        <v>0</v>
      </c>
      <c r="R1802">
        <v>71</v>
      </c>
      <c r="S1802">
        <v>497</v>
      </c>
      <c r="T1802">
        <v>0</v>
      </c>
      <c r="V1802">
        <v>0</v>
      </c>
      <c r="W1802" t="s">
        <v>2706</v>
      </c>
    </row>
    <row r="1803" spans="1:23" x14ac:dyDescent="0.25">
      <c r="H1803">
        <v>703</v>
      </c>
    </row>
    <row r="1804" spans="1:23" x14ac:dyDescent="0.25">
      <c r="A1804">
        <v>899</v>
      </c>
      <c r="B1804">
        <v>460</v>
      </c>
      <c r="C1804" t="s">
        <v>907</v>
      </c>
      <c r="D1804" t="s">
        <v>14</v>
      </c>
      <c r="E1804" t="s">
        <v>113</v>
      </c>
      <c r="F1804" t="s">
        <v>2708</v>
      </c>
      <c r="G1804" t="str">
        <f>"201201000158"</f>
        <v>201201000158</v>
      </c>
      <c r="H1804" t="s">
        <v>1212</v>
      </c>
      <c r="I1804">
        <v>0</v>
      </c>
      <c r="J1804">
        <v>30</v>
      </c>
      <c r="K1804">
        <v>0</v>
      </c>
      <c r="L1804">
        <v>0</v>
      </c>
      <c r="M1804">
        <v>0</v>
      </c>
      <c r="N1804">
        <v>0</v>
      </c>
      <c r="O1804">
        <v>0</v>
      </c>
      <c r="P1804">
        <v>0</v>
      </c>
      <c r="Q1804">
        <v>0</v>
      </c>
      <c r="R1804">
        <v>84</v>
      </c>
      <c r="S1804">
        <v>588</v>
      </c>
      <c r="T1804">
        <v>0</v>
      </c>
      <c r="V1804">
        <v>0</v>
      </c>
      <c r="W1804" t="s">
        <v>2706</v>
      </c>
    </row>
    <row r="1805" spans="1:23" x14ac:dyDescent="0.25">
      <c r="H1805">
        <v>703</v>
      </c>
    </row>
    <row r="1806" spans="1:23" x14ac:dyDescent="0.25">
      <c r="A1806">
        <v>900</v>
      </c>
      <c r="B1806">
        <v>2706</v>
      </c>
      <c r="C1806" t="s">
        <v>200</v>
      </c>
      <c r="D1806" t="s">
        <v>1210</v>
      </c>
      <c r="E1806" t="s">
        <v>350</v>
      </c>
      <c r="F1806" t="s">
        <v>2709</v>
      </c>
      <c r="G1806" t="str">
        <f>"00229044"</f>
        <v>00229044</v>
      </c>
      <c r="H1806" t="s">
        <v>1212</v>
      </c>
      <c r="I1806">
        <v>0</v>
      </c>
      <c r="J1806">
        <v>30</v>
      </c>
      <c r="K1806">
        <v>0</v>
      </c>
      <c r="L1806">
        <v>0</v>
      </c>
      <c r="M1806">
        <v>0</v>
      </c>
      <c r="N1806">
        <v>0</v>
      </c>
      <c r="O1806">
        <v>0</v>
      </c>
      <c r="P1806">
        <v>0</v>
      </c>
      <c r="Q1806">
        <v>0</v>
      </c>
      <c r="R1806">
        <v>84</v>
      </c>
      <c r="S1806">
        <v>588</v>
      </c>
      <c r="T1806">
        <v>0</v>
      </c>
      <c r="V1806">
        <v>0</v>
      </c>
      <c r="W1806" t="s">
        <v>2706</v>
      </c>
    </row>
    <row r="1807" spans="1:23" x14ac:dyDescent="0.25">
      <c r="H1807">
        <v>703</v>
      </c>
    </row>
    <row r="1808" spans="1:23" x14ac:dyDescent="0.25">
      <c r="A1808">
        <v>901</v>
      </c>
      <c r="B1808">
        <v>464</v>
      </c>
      <c r="C1808" t="s">
        <v>329</v>
      </c>
      <c r="D1808" t="s">
        <v>67</v>
      </c>
      <c r="E1808" t="s">
        <v>15</v>
      </c>
      <c r="F1808" t="s">
        <v>2710</v>
      </c>
      <c r="G1808" t="str">
        <f>"200907000321"</f>
        <v>200907000321</v>
      </c>
      <c r="H1808" t="s">
        <v>1212</v>
      </c>
      <c r="I1808">
        <v>0</v>
      </c>
      <c r="J1808">
        <v>30</v>
      </c>
      <c r="K1808">
        <v>0</v>
      </c>
      <c r="L1808">
        <v>0</v>
      </c>
      <c r="M1808">
        <v>0</v>
      </c>
      <c r="N1808">
        <v>0</v>
      </c>
      <c r="O1808">
        <v>0</v>
      </c>
      <c r="P1808">
        <v>0</v>
      </c>
      <c r="Q1808">
        <v>0</v>
      </c>
      <c r="R1808">
        <v>84</v>
      </c>
      <c r="S1808">
        <v>588</v>
      </c>
      <c r="T1808">
        <v>0</v>
      </c>
      <c r="V1808">
        <v>0</v>
      </c>
      <c r="W1808" t="s">
        <v>2706</v>
      </c>
    </row>
    <row r="1809" spans="1:23" x14ac:dyDescent="0.25">
      <c r="H1809">
        <v>703</v>
      </c>
    </row>
    <row r="1810" spans="1:23" x14ac:dyDescent="0.25">
      <c r="A1810">
        <v>902</v>
      </c>
      <c r="B1810">
        <v>2895</v>
      </c>
      <c r="C1810" t="s">
        <v>2711</v>
      </c>
      <c r="D1810" t="s">
        <v>32</v>
      </c>
      <c r="E1810" t="s">
        <v>76</v>
      </c>
      <c r="F1810" t="s">
        <v>2712</v>
      </c>
      <c r="G1810" t="str">
        <f>"00225364"</f>
        <v>00225364</v>
      </c>
      <c r="H1810" t="s">
        <v>1212</v>
      </c>
      <c r="I1810">
        <v>0</v>
      </c>
      <c r="J1810">
        <v>30</v>
      </c>
      <c r="K1810">
        <v>0</v>
      </c>
      <c r="L1810">
        <v>0</v>
      </c>
      <c r="M1810">
        <v>0</v>
      </c>
      <c r="N1810">
        <v>0</v>
      </c>
      <c r="O1810">
        <v>0</v>
      </c>
      <c r="P1810">
        <v>0</v>
      </c>
      <c r="Q1810">
        <v>0</v>
      </c>
      <c r="R1810">
        <v>84</v>
      </c>
      <c r="S1810">
        <v>588</v>
      </c>
      <c r="T1810">
        <v>0</v>
      </c>
      <c r="V1810">
        <v>0</v>
      </c>
      <c r="W1810" t="s">
        <v>2706</v>
      </c>
    </row>
    <row r="1811" spans="1:23" x14ac:dyDescent="0.25">
      <c r="H1811" t="s">
        <v>70</v>
      </c>
    </row>
    <row r="1812" spans="1:23" x14ac:dyDescent="0.25">
      <c r="A1812">
        <v>903</v>
      </c>
      <c r="B1812">
        <v>381</v>
      </c>
      <c r="C1812" t="s">
        <v>2415</v>
      </c>
      <c r="D1812" t="s">
        <v>61</v>
      </c>
      <c r="E1812" t="s">
        <v>2713</v>
      </c>
      <c r="F1812" t="s">
        <v>2714</v>
      </c>
      <c r="G1812" t="str">
        <f>"200802011781"</f>
        <v>200802011781</v>
      </c>
      <c r="H1812" t="s">
        <v>2715</v>
      </c>
      <c r="I1812">
        <v>150</v>
      </c>
      <c r="J1812">
        <v>0</v>
      </c>
      <c r="K1812">
        <v>0</v>
      </c>
      <c r="L1812">
        <v>0</v>
      </c>
      <c r="M1812">
        <v>0</v>
      </c>
      <c r="N1812">
        <v>0</v>
      </c>
      <c r="O1812">
        <v>0</v>
      </c>
      <c r="P1812">
        <v>0</v>
      </c>
      <c r="Q1812">
        <v>0</v>
      </c>
      <c r="R1812">
        <v>84</v>
      </c>
      <c r="S1812">
        <v>588</v>
      </c>
      <c r="T1812">
        <v>0</v>
      </c>
      <c r="V1812">
        <v>0</v>
      </c>
      <c r="W1812" t="s">
        <v>2716</v>
      </c>
    </row>
    <row r="1813" spans="1:23" x14ac:dyDescent="0.25">
      <c r="H1813">
        <v>703</v>
      </c>
    </row>
    <row r="1814" spans="1:23" x14ac:dyDescent="0.25">
      <c r="A1814">
        <v>904</v>
      </c>
      <c r="B1814">
        <v>710</v>
      </c>
      <c r="C1814" t="s">
        <v>2717</v>
      </c>
      <c r="D1814" t="s">
        <v>2718</v>
      </c>
      <c r="E1814" t="s">
        <v>2719</v>
      </c>
      <c r="F1814" t="s">
        <v>2720</v>
      </c>
      <c r="G1814" t="str">
        <f>"201402003194"</f>
        <v>201402003194</v>
      </c>
      <c r="H1814" t="s">
        <v>840</v>
      </c>
      <c r="I1814">
        <v>150</v>
      </c>
      <c r="J1814">
        <v>30</v>
      </c>
      <c r="K1814">
        <v>0</v>
      </c>
      <c r="L1814">
        <v>0</v>
      </c>
      <c r="M1814">
        <v>0</v>
      </c>
      <c r="N1814">
        <v>0</v>
      </c>
      <c r="O1814">
        <v>0</v>
      </c>
      <c r="P1814">
        <v>50</v>
      </c>
      <c r="Q1814">
        <v>0</v>
      </c>
      <c r="R1814">
        <v>41</v>
      </c>
      <c r="S1814">
        <v>287</v>
      </c>
      <c r="T1814">
        <v>0</v>
      </c>
      <c r="V1814">
        <v>0</v>
      </c>
      <c r="W1814" t="s">
        <v>2721</v>
      </c>
    </row>
    <row r="1815" spans="1:23" x14ac:dyDescent="0.25">
      <c r="H1815" t="s">
        <v>26</v>
      </c>
    </row>
    <row r="1816" spans="1:23" x14ac:dyDescent="0.25">
      <c r="A1816">
        <v>905</v>
      </c>
      <c r="B1816">
        <v>2676</v>
      </c>
      <c r="C1816" t="s">
        <v>2722</v>
      </c>
      <c r="D1816" t="s">
        <v>2723</v>
      </c>
      <c r="E1816" t="s">
        <v>21</v>
      </c>
      <c r="F1816" t="s">
        <v>2724</v>
      </c>
      <c r="G1816" t="str">
        <f>"201511023628"</f>
        <v>201511023628</v>
      </c>
      <c r="H1816">
        <v>935</v>
      </c>
      <c r="I1816">
        <v>150</v>
      </c>
      <c r="J1816">
        <v>0</v>
      </c>
      <c r="K1816">
        <v>0</v>
      </c>
      <c r="L1816">
        <v>0</v>
      </c>
      <c r="M1816">
        <v>0</v>
      </c>
      <c r="N1816">
        <v>0</v>
      </c>
      <c r="O1816">
        <v>0</v>
      </c>
      <c r="P1816">
        <v>0</v>
      </c>
      <c r="Q1816">
        <v>0</v>
      </c>
      <c r="R1816">
        <v>50</v>
      </c>
      <c r="S1816">
        <v>350</v>
      </c>
      <c r="T1816">
        <v>0</v>
      </c>
      <c r="V1816">
        <v>2</v>
      </c>
      <c r="W1816">
        <v>1435</v>
      </c>
    </row>
    <row r="1817" spans="1:23" x14ac:dyDescent="0.25">
      <c r="H1817" t="s">
        <v>587</v>
      </c>
    </row>
    <row r="1818" spans="1:23" x14ac:dyDescent="0.25">
      <c r="A1818">
        <v>906</v>
      </c>
      <c r="B1818">
        <v>1367</v>
      </c>
      <c r="C1818" t="s">
        <v>2725</v>
      </c>
      <c r="D1818" t="s">
        <v>697</v>
      </c>
      <c r="E1818" t="s">
        <v>350</v>
      </c>
      <c r="F1818" t="s">
        <v>2726</v>
      </c>
      <c r="G1818" t="str">
        <f>"00121676"</f>
        <v>00121676</v>
      </c>
      <c r="H1818" t="s">
        <v>237</v>
      </c>
      <c r="I1818">
        <v>0</v>
      </c>
      <c r="J1818">
        <v>50</v>
      </c>
      <c r="K1818">
        <v>0</v>
      </c>
      <c r="L1818">
        <v>0</v>
      </c>
      <c r="M1818">
        <v>0</v>
      </c>
      <c r="N1818">
        <v>0</v>
      </c>
      <c r="O1818">
        <v>0</v>
      </c>
      <c r="P1818">
        <v>0</v>
      </c>
      <c r="Q1818">
        <v>0</v>
      </c>
      <c r="R1818">
        <v>54</v>
      </c>
      <c r="S1818">
        <v>378</v>
      </c>
      <c r="T1818">
        <v>0</v>
      </c>
      <c r="V1818">
        <v>0</v>
      </c>
      <c r="W1818" t="s">
        <v>2727</v>
      </c>
    </row>
    <row r="1819" spans="1:23" x14ac:dyDescent="0.25">
      <c r="H1819">
        <v>703</v>
      </c>
    </row>
    <row r="1820" spans="1:23" x14ac:dyDescent="0.25">
      <c r="A1820">
        <v>907</v>
      </c>
      <c r="B1820">
        <v>322</v>
      </c>
      <c r="C1820" t="s">
        <v>1313</v>
      </c>
      <c r="D1820" t="s">
        <v>28</v>
      </c>
      <c r="E1820" t="s">
        <v>99</v>
      </c>
      <c r="F1820" t="s">
        <v>2728</v>
      </c>
      <c r="G1820" t="str">
        <f>"00118175"</f>
        <v>00118175</v>
      </c>
      <c r="H1820" t="s">
        <v>131</v>
      </c>
      <c r="I1820">
        <v>0</v>
      </c>
      <c r="J1820">
        <v>30</v>
      </c>
      <c r="K1820">
        <v>0</v>
      </c>
      <c r="L1820">
        <v>0</v>
      </c>
      <c r="M1820">
        <v>0</v>
      </c>
      <c r="N1820">
        <v>0</v>
      </c>
      <c r="O1820">
        <v>0</v>
      </c>
      <c r="P1820">
        <v>0</v>
      </c>
      <c r="Q1820">
        <v>0</v>
      </c>
      <c r="R1820">
        <v>50</v>
      </c>
      <c r="S1820">
        <v>350</v>
      </c>
      <c r="T1820">
        <v>0</v>
      </c>
      <c r="V1820">
        <v>0</v>
      </c>
      <c r="W1820" t="s">
        <v>2729</v>
      </c>
    </row>
    <row r="1821" spans="1:23" x14ac:dyDescent="0.25">
      <c r="H1821" t="s">
        <v>26</v>
      </c>
    </row>
    <row r="1822" spans="1:23" x14ac:dyDescent="0.25">
      <c r="A1822">
        <v>908</v>
      </c>
      <c r="B1822">
        <v>2068</v>
      </c>
      <c r="C1822" t="s">
        <v>2730</v>
      </c>
      <c r="D1822" t="s">
        <v>248</v>
      </c>
      <c r="E1822" t="s">
        <v>79</v>
      </c>
      <c r="F1822" t="s">
        <v>2731</v>
      </c>
      <c r="G1822" t="str">
        <f>"200801010562"</f>
        <v>200801010562</v>
      </c>
      <c r="H1822" t="s">
        <v>158</v>
      </c>
      <c r="I1822">
        <v>0</v>
      </c>
      <c r="J1822">
        <v>70</v>
      </c>
      <c r="K1822">
        <v>70</v>
      </c>
      <c r="L1822">
        <v>0</v>
      </c>
      <c r="M1822">
        <v>0</v>
      </c>
      <c r="N1822">
        <v>0</v>
      </c>
      <c r="O1822">
        <v>0</v>
      </c>
      <c r="P1822">
        <v>0</v>
      </c>
      <c r="Q1822">
        <v>0</v>
      </c>
      <c r="R1822">
        <v>39</v>
      </c>
      <c r="S1822">
        <v>273</v>
      </c>
      <c r="T1822">
        <v>0</v>
      </c>
      <c r="V1822">
        <v>0</v>
      </c>
      <c r="W1822" t="s">
        <v>2732</v>
      </c>
    </row>
    <row r="1823" spans="1:23" x14ac:dyDescent="0.25">
      <c r="H1823" t="s">
        <v>26</v>
      </c>
    </row>
    <row r="1824" spans="1:23" x14ac:dyDescent="0.25">
      <c r="A1824">
        <v>909</v>
      </c>
      <c r="B1824">
        <v>1671</v>
      </c>
      <c r="C1824" t="s">
        <v>2733</v>
      </c>
      <c r="D1824" t="s">
        <v>2734</v>
      </c>
      <c r="E1824" t="s">
        <v>414</v>
      </c>
      <c r="F1824" t="s">
        <v>2735</v>
      </c>
      <c r="G1824" t="str">
        <f>"201511028554"</f>
        <v>201511028554</v>
      </c>
      <c r="H1824" t="s">
        <v>191</v>
      </c>
      <c r="I1824">
        <v>150</v>
      </c>
      <c r="J1824">
        <v>0</v>
      </c>
      <c r="K1824">
        <v>0</v>
      </c>
      <c r="L1824">
        <v>0</v>
      </c>
      <c r="M1824">
        <v>0</v>
      </c>
      <c r="N1824">
        <v>0</v>
      </c>
      <c r="O1824">
        <v>0</v>
      </c>
      <c r="P1824">
        <v>0</v>
      </c>
      <c r="Q1824">
        <v>0</v>
      </c>
      <c r="R1824">
        <v>32</v>
      </c>
      <c r="S1824">
        <v>224</v>
      </c>
      <c r="T1824">
        <v>0</v>
      </c>
      <c r="V1824">
        <v>0</v>
      </c>
      <c r="W1824" t="s">
        <v>2736</v>
      </c>
    </row>
    <row r="1825" spans="1:23" x14ac:dyDescent="0.25">
      <c r="H1825">
        <v>703</v>
      </c>
    </row>
    <row r="1826" spans="1:23" x14ac:dyDescent="0.25">
      <c r="A1826">
        <v>910</v>
      </c>
      <c r="B1826">
        <v>2524</v>
      </c>
      <c r="C1826" t="s">
        <v>2737</v>
      </c>
      <c r="D1826" t="s">
        <v>2738</v>
      </c>
      <c r="E1826" t="s">
        <v>2739</v>
      </c>
      <c r="F1826" t="s">
        <v>2740</v>
      </c>
      <c r="G1826" t="str">
        <f>"00113863"</f>
        <v>00113863</v>
      </c>
      <c r="H1826" t="s">
        <v>281</v>
      </c>
      <c r="I1826">
        <v>0</v>
      </c>
      <c r="J1826">
        <v>0</v>
      </c>
      <c r="K1826">
        <v>0</v>
      </c>
      <c r="L1826">
        <v>0</v>
      </c>
      <c r="M1826">
        <v>0</v>
      </c>
      <c r="N1826">
        <v>0</v>
      </c>
      <c r="O1826">
        <v>0</v>
      </c>
      <c r="P1826">
        <v>0</v>
      </c>
      <c r="Q1826">
        <v>0</v>
      </c>
      <c r="R1826">
        <v>56</v>
      </c>
      <c r="S1826">
        <v>392</v>
      </c>
      <c r="T1826">
        <v>0</v>
      </c>
      <c r="V1826">
        <v>0</v>
      </c>
      <c r="W1826" t="s">
        <v>2741</v>
      </c>
    </row>
    <row r="1827" spans="1:23" x14ac:dyDescent="0.25">
      <c r="H1827">
        <v>703</v>
      </c>
    </row>
    <row r="1828" spans="1:23" x14ac:dyDescent="0.25">
      <c r="A1828">
        <v>911</v>
      </c>
      <c r="B1828">
        <v>1105</v>
      </c>
      <c r="C1828" t="s">
        <v>2742</v>
      </c>
      <c r="D1828" t="s">
        <v>463</v>
      </c>
      <c r="E1828" t="s">
        <v>99</v>
      </c>
      <c r="F1828" t="s">
        <v>2743</v>
      </c>
      <c r="G1828" t="str">
        <f>"00002117"</f>
        <v>00002117</v>
      </c>
      <c r="H1828" t="s">
        <v>1059</v>
      </c>
      <c r="I1828">
        <v>0</v>
      </c>
      <c r="J1828">
        <v>30</v>
      </c>
      <c r="K1828">
        <v>0</v>
      </c>
      <c r="L1828">
        <v>0</v>
      </c>
      <c r="M1828">
        <v>0</v>
      </c>
      <c r="N1828">
        <v>0</v>
      </c>
      <c r="O1828">
        <v>0</v>
      </c>
      <c r="P1828">
        <v>0</v>
      </c>
      <c r="Q1828">
        <v>0</v>
      </c>
      <c r="R1828">
        <v>52</v>
      </c>
      <c r="S1828">
        <v>364</v>
      </c>
      <c r="T1828">
        <v>0</v>
      </c>
      <c r="V1828">
        <v>2</v>
      </c>
      <c r="W1828" t="s">
        <v>2744</v>
      </c>
    </row>
    <row r="1829" spans="1:23" x14ac:dyDescent="0.25">
      <c r="H1829" t="s">
        <v>2427</v>
      </c>
    </row>
    <row r="1830" spans="1:23" x14ac:dyDescent="0.25">
      <c r="A1830">
        <v>912</v>
      </c>
      <c r="B1830">
        <v>716</v>
      </c>
      <c r="C1830" t="s">
        <v>2745</v>
      </c>
      <c r="D1830" t="s">
        <v>382</v>
      </c>
      <c r="E1830" t="s">
        <v>1440</v>
      </c>
      <c r="F1830" t="s">
        <v>2746</v>
      </c>
      <c r="G1830" t="str">
        <f>"00023278"</f>
        <v>00023278</v>
      </c>
      <c r="H1830">
        <v>1100</v>
      </c>
      <c r="I1830">
        <v>0</v>
      </c>
      <c r="J1830">
        <v>0</v>
      </c>
      <c r="K1830">
        <v>0</v>
      </c>
      <c r="L1830">
        <v>0</v>
      </c>
      <c r="M1830">
        <v>0</v>
      </c>
      <c r="N1830">
        <v>0</v>
      </c>
      <c r="O1830">
        <v>0</v>
      </c>
      <c r="P1830">
        <v>0</v>
      </c>
      <c r="Q1830">
        <v>0</v>
      </c>
      <c r="R1830">
        <v>47</v>
      </c>
      <c r="S1830">
        <v>329</v>
      </c>
      <c r="T1830">
        <v>0</v>
      </c>
      <c r="V1830">
        <v>1</v>
      </c>
      <c r="W1830">
        <v>1429</v>
      </c>
    </row>
    <row r="1831" spans="1:23" x14ac:dyDescent="0.25">
      <c r="H1831">
        <v>703</v>
      </c>
    </row>
    <row r="1832" spans="1:23" x14ac:dyDescent="0.25">
      <c r="A1832">
        <v>913</v>
      </c>
      <c r="B1832">
        <v>1134</v>
      </c>
      <c r="C1832" t="s">
        <v>2747</v>
      </c>
      <c r="D1832" t="s">
        <v>273</v>
      </c>
      <c r="E1832" t="s">
        <v>1147</v>
      </c>
      <c r="F1832" t="s">
        <v>2748</v>
      </c>
      <c r="G1832" t="str">
        <f>"201511011194"</f>
        <v>201511011194</v>
      </c>
      <c r="H1832" t="s">
        <v>2749</v>
      </c>
      <c r="I1832">
        <v>0</v>
      </c>
      <c r="J1832">
        <v>30</v>
      </c>
      <c r="K1832">
        <v>0</v>
      </c>
      <c r="L1832">
        <v>0</v>
      </c>
      <c r="M1832">
        <v>0</v>
      </c>
      <c r="N1832">
        <v>0</v>
      </c>
      <c r="O1832">
        <v>0</v>
      </c>
      <c r="P1832">
        <v>0</v>
      </c>
      <c r="Q1832">
        <v>0</v>
      </c>
      <c r="R1832">
        <v>84</v>
      </c>
      <c r="S1832">
        <v>588</v>
      </c>
      <c r="T1832">
        <v>0</v>
      </c>
      <c r="V1832">
        <v>0</v>
      </c>
      <c r="W1832" t="s">
        <v>2750</v>
      </c>
    </row>
    <row r="1833" spans="1:23" x14ac:dyDescent="0.25">
      <c r="H1833">
        <v>703</v>
      </c>
    </row>
    <row r="1834" spans="1:23" x14ac:dyDescent="0.25">
      <c r="A1834">
        <v>914</v>
      </c>
      <c r="B1834">
        <v>839</v>
      </c>
      <c r="C1834" t="s">
        <v>2751</v>
      </c>
      <c r="D1834" t="s">
        <v>1255</v>
      </c>
      <c r="E1834" t="s">
        <v>24</v>
      </c>
      <c r="F1834" t="s">
        <v>2752</v>
      </c>
      <c r="G1834" t="str">
        <f>"201503000067"</f>
        <v>201503000067</v>
      </c>
      <c r="H1834" t="s">
        <v>1532</v>
      </c>
      <c r="I1834">
        <v>0</v>
      </c>
      <c r="J1834">
        <v>30</v>
      </c>
      <c r="K1834">
        <v>0</v>
      </c>
      <c r="L1834">
        <v>0</v>
      </c>
      <c r="M1834">
        <v>0</v>
      </c>
      <c r="N1834">
        <v>0</v>
      </c>
      <c r="O1834">
        <v>0</v>
      </c>
      <c r="P1834">
        <v>0</v>
      </c>
      <c r="Q1834">
        <v>0</v>
      </c>
      <c r="R1834">
        <v>67</v>
      </c>
      <c r="S1834">
        <v>469</v>
      </c>
      <c r="T1834">
        <v>0</v>
      </c>
      <c r="V1834">
        <v>0</v>
      </c>
      <c r="W1834" t="s">
        <v>2753</v>
      </c>
    </row>
    <row r="1835" spans="1:23" x14ac:dyDescent="0.25">
      <c r="H1835" t="s">
        <v>26</v>
      </c>
    </row>
    <row r="1836" spans="1:23" x14ac:dyDescent="0.25">
      <c r="A1836">
        <v>915</v>
      </c>
      <c r="B1836">
        <v>843</v>
      </c>
      <c r="C1836" t="s">
        <v>2754</v>
      </c>
      <c r="D1836" t="s">
        <v>112</v>
      </c>
      <c r="E1836" t="s">
        <v>105</v>
      </c>
      <c r="F1836" t="s">
        <v>2755</v>
      </c>
      <c r="G1836" t="str">
        <f>"201402000125"</f>
        <v>201402000125</v>
      </c>
      <c r="H1836" t="s">
        <v>2437</v>
      </c>
      <c r="I1836">
        <v>0</v>
      </c>
      <c r="J1836">
        <v>0</v>
      </c>
      <c r="K1836">
        <v>0</v>
      </c>
      <c r="L1836">
        <v>0</v>
      </c>
      <c r="M1836">
        <v>0</v>
      </c>
      <c r="N1836">
        <v>0</v>
      </c>
      <c r="O1836">
        <v>0</v>
      </c>
      <c r="P1836">
        <v>0</v>
      </c>
      <c r="Q1836">
        <v>0</v>
      </c>
      <c r="R1836">
        <v>84</v>
      </c>
      <c r="S1836">
        <v>588</v>
      </c>
      <c r="T1836">
        <v>0</v>
      </c>
      <c r="V1836">
        <v>0</v>
      </c>
      <c r="W1836" t="s">
        <v>2756</v>
      </c>
    </row>
    <row r="1837" spans="1:23" x14ac:dyDescent="0.25">
      <c r="H1837">
        <v>703</v>
      </c>
    </row>
    <row r="1838" spans="1:23" x14ac:dyDescent="0.25">
      <c r="A1838">
        <v>916</v>
      </c>
      <c r="B1838">
        <v>589</v>
      </c>
      <c r="C1838" t="s">
        <v>2757</v>
      </c>
      <c r="D1838" t="s">
        <v>109</v>
      </c>
      <c r="E1838" t="s">
        <v>2758</v>
      </c>
      <c r="F1838" t="s">
        <v>2759</v>
      </c>
      <c r="G1838" t="str">
        <f>"200802003184"</f>
        <v>200802003184</v>
      </c>
      <c r="H1838" t="s">
        <v>2437</v>
      </c>
      <c r="I1838">
        <v>0</v>
      </c>
      <c r="J1838">
        <v>0</v>
      </c>
      <c r="K1838">
        <v>0</v>
      </c>
      <c r="L1838">
        <v>0</v>
      </c>
      <c r="M1838">
        <v>0</v>
      </c>
      <c r="N1838">
        <v>0</v>
      </c>
      <c r="O1838">
        <v>0</v>
      </c>
      <c r="P1838">
        <v>0</v>
      </c>
      <c r="Q1838">
        <v>0</v>
      </c>
      <c r="R1838">
        <v>84</v>
      </c>
      <c r="S1838">
        <v>588</v>
      </c>
      <c r="T1838">
        <v>0</v>
      </c>
      <c r="V1838">
        <v>2</v>
      </c>
      <c r="W1838" t="s">
        <v>2756</v>
      </c>
    </row>
    <row r="1839" spans="1:23" x14ac:dyDescent="0.25">
      <c r="H1839">
        <v>703</v>
      </c>
    </row>
    <row r="1840" spans="1:23" x14ac:dyDescent="0.25">
      <c r="A1840">
        <v>917</v>
      </c>
      <c r="B1840">
        <v>2878</v>
      </c>
      <c r="C1840" t="s">
        <v>2760</v>
      </c>
      <c r="D1840" t="s">
        <v>2761</v>
      </c>
      <c r="E1840" t="s">
        <v>21</v>
      </c>
      <c r="F1840" t="s">
        <v>2762</v>
      </c>
      <c r="G1840" t="str">
        <f>"201406004296"</f>
        <v>201406004296</v>
      </c>
      <c r="H1840" t="s">
        <v>1514</v>
      </c>
      <c r="I1840">
        <v>0</v>
      </c>
      <c r="J1840">
        <v>50</v>
      </c>
      <c r="K1840">
        <v>0</v>
      </c>
      <c r="L1840">
        <v>0</v>
      </c>
      <c r="M1840">
        <v>0</v>
      </c>
      <c r="N1840">
        <v>0</v>
      </c>
      <c r="O1840">
        <v>0</v>
      </c>
      <c r="P1840">
        <v>0</v>
      </c>
      <c r="Q1840">
        <v>0</v>
      </c>
      <c r="R1840">
        <v>78</v>
      </c>
      <c r="S1840">
        <v>546</v>
      </c>
      <c r="T1840">
        <v>0</v>
      </c>
      <c r="V1840">
        <v>0</v>
      </c>
      <c r="W1840" t="s">
        <v>2763</v>
      </c>
    </row>
    <row r="1841" spans="1:23" x14ac:dyDescent="0.25">
      <c r="H1841" t="s">
        <v>70</v>
      </c>
    </row>
    <row r="1842" spans="1:23" x14ac:dyDescent="0.25">
      <c r="A1842">
        <v>918</v>
      </c>
      <c r="B1842">
        <v>2571</v>
      </c>
      <c r="C1842" t="s">
        <v>2764</v>
      </c>
      <c r="D1842" t="s">
        <v>2765</v>
      </c>
      <c r="E1842" t="s">
        <v>708</v>
      </c>
      <c r="F1842" t="s">
        <v>2766</v>
      </c>
      <c r="G1842" t="str">
        <f>"201402004927"</f>
        <v>201402004927</v>
      </c>
      <c r="H1842" t="s">
        <v>2614</v>
      </c>
      <c r="I1842">
        <v>0</v>
      </c>
      <c r="J1842">
        <v>0</v>
      </c>
      <c r="K1842">
        <v>0</v>
      </c>
      <c r="L1842">
        <v>0</v>
      </c>
      <c r="M1842">
        <v>0</v>
      </c>
      <c r="N1842">
        <v>0</v>
      </c>
      <c r="O1842">
        <v>0</v>
      </c>
      <c r="P1842">
        <v>0</v>
      </c>
      <c r="Q1842">
        <v>0</v>
      </c>
      <c r="R1842">
        <v>84</v>
      </c>
      <c r="S1842">
        <v>588</v>
      </c>
      <c r="T1842">
        <v>0</v>
      </c>
      <c r="V1842">
        <v>0</v>
      </c>
      <c r="W1842" t="s">
        <v>2767</v>
      </c>
    </row>
    <row r="1843" spans="1:23" x14ac:dyDescent="0.25">
      <c r="H1843">
        <v>703</v>
      </c>
    </row>
    <row r="1844" spans="1:23" x14ac:dyDescent="0.25">
      <c r="A1844">
        <v>919</v>
      </c>
      <c r="B1844">
        <v>557</v>
      </c>
      <c r="C1844" t="s">
        <v>728</v>
      </c>
      <c r="D1844" t="s">
        <v>392</v>
      </c>
      <c r="E1844" t="s">
        <v>297</v>
      </c>
      <c r="F1844" t="s">
        <v>2768</v>
      </c>
      <c r="G1844" t="str">
        <f>"00176207"</f>
        <v>00176207</v>
      </c>
      <c r="H1844" t="s">
        <v>1377</v>
      </c>
      <c r="I1844">
        <v>150</v>
      </c>
      <c r="J1844">
        <v>30</v>
      </c>
      <c r="K1844">
        <v>0</v>
      </c>
      <c r="L1844">
        <v>0</v>
      </c>
      <c r="M1844">
        <v>30</v>
      </c>
      <c r="N1844">
        <v>0</v>
      </c>
      <c r="O1844">
        <v>0</v>
      </c>
      <c r="P1844">
        <v>0</v>
      </c>
      <c r="Q1844">
        <v>0</v>
      </c>
      <c r="R1844">
        <v>45</v>
      </c>
      <c r="S1844">
        <v>315</v>
      </c>
      <c r="T1844">
        <v>0</v>
      </c>
      <c r="V1844">
        <v>0</v>
      </c>
      <c r="W1844" t="s">
        <v>2769</v>
      </c>
    </row>
    <row r="1845" spans="1:23" x14ac:dyDescent="0.25">
      <c r="H1845" t="s">
        <v>70</v>
      </c>
    </row>
    <row r="1846" spans="1:23" x14ac:dyDescent="0.25">
      <c r="A1846">
        <v>920</v>
      </c>
      <c r="B1846">
        <v>1917</v>
      </c>
      <c r="C1846" t="s">
        <v>1493</v>
      </c>
      <c r="D1846" t="s">
        <v>279</v>
      </c>
      <c r="E1846" t="s">
        <v>2770</v>
      </c>
      <c r="F1846" t="s">
        <v>2771</v>
      </c>
      <c r="G1846" t="str">
        <f>"00140062"</f>
        <v>00140062</v>
      </c>
      <c r="H1846" t="s">
        <v>465</v>
      </c>
      <c r="I1846">
        <v>0</v>
      </c>
      <c r="J1846">
        <v>0</v>
      </c>
      <c r="K1846">
        <v>0</v>
      </c>
      <c r="L1846">
        <v>0</v>
      </c>
      <c r="M1846">
        <v>0</v>
      </c>
      <c r="N1846">
        <v>0</v>
      </c>
      <c r="O1846">
        <v>0</v>
      </c>
      <c r="P1846">
        <v>0</v>
      </c>
      <c r="Q1846">
        <v>0</v>
      </c>
      <c r="R1846">
        <v>66</v>
      </c>
      <c r="S1846">
        <v>462</v>
      </c>
      <c r="T1846">
        <v>0</v>
      </c>
      <c r="V1846">
        <v>0</v>
      </c>
      <c r="W1846" t="s">
        <v>2772</v>
      </c>
    </row>
    <row r="1847" spans="1:23" x14ac:dyDescent="0.25">
      <c r="H1847">
        <v>703</v>
      </c>
    </row>
    <row r="1848" spans="1:23" x14ac:dyDescent="0.25">
      <c r="A1848">
        <v>921</v>
      </c>
      <c r="B1848">
        <v>2030</v>
      </c>
      <c r="C1848" t="s">
        <v>2773</v>
      </c>
      <c r="D1848" t="s">
        <v>112</v>
      </c>
      <c r="E1848" t="s">
        <v>607</v>
      </c>
      <c r="F1848" t="s">
        <v>2774</v>
      </c>
      <c r="G1848" t="str">
        <f>"00229591"</f>
        <v>00229591</v>
      </c>
      <c r="H1848" t="s">
        <v>2309</v>
      </c>
      <c r="I1848">
        <v>150</v>
      </c>
      <c r="J1848">
        <v>0</v>
      </c>
      <c r="K1848">
        <v>0</v>
      </c>
      <c r="L1848">
        <v>0</v>
      </c>
      <c r="M1848">
        <v>0</v>
      </c>
      <c r="N1848">
        <v>0</v>
      </c>
      <c r="O1848">
        <v>0</v>
      </c>
      <c r="P1848">
        <v>0</v>
      </c>
      <c r="Q1848">
        <v>0</v>
      </c>
      <c r="R1848">
        <v>59</v>
      </c>
      <c r="S1848">
        <v>413</v>
      </c>
      <c r="T1848">
        <v>0</v>
      </c>
      <c r="V1848">
        <v>2</v>
      </c>
      <c r="W1848" t="s">
        <v>2775</v>
      </c>
    </row>
    <row r="1849" spans="1:23" x14ac:dyDescent="0.25">
      <c r="H1849">
        <v>703</v>
      </c>
    </row>
    <row r="1850" spans="1:23" x14ac:dyDescent="0.25">
      <c r="A1850">
        <v>922</v>
      </c>
      <c r="B1850">
        <v>3139</v>
      </c>
      <c r="C1850" t="s">
        <v>2776</v>
      </c>
      <c r="D1850" t="s">
        <v>105</v>
      </c>
      <c r="E1850" t="s">
        <v>947</v>
      </c>
      <c r="F1850" t="s">
        <v>2777</v>
      </c>
      <c r="G1850" t="str">
        <f>"00170704"</f>
        <v>00170704</v>
      </c>
      <c r="H1850">
        <v>1056</v>
      </c>
      <c r="I1850">
        <v>0</v>
      </c>
      <c r="J1850">
        <v>70</v>
      </c>
      <c r="K1850">
        <v>0</v>
      </c>
      <c r="L1850">
        <v>0</v>
      </c>
      <c r="M1850">
        <v>0</v>
      </c>
      <c r="N1850">
        <v>30</v>
      </c>
      <c r="O1850">
        <v>0</v>
      </c>
      <c r="P1850">
        <v>0</v>
      </c>
      <c r="Q1850">
        <v>0</v>
      </c>
      <c r="R1850">
        <v>38</v>
      </c>
      <c r="S1850">
        <v>266</v>
      </c>
      <c r="T1850">
        <v>0</v>
      </c>
      <c r="V1850">
        <v>0</v>
      </c>
      <c r="W1850">
        <v>1422</v>
      </c>
    </row>
    <row r="1851" spans="1:23" x14ac:dyDescent="0.25">
      <c r="H1851" t="s">
        <v>70</v>
      </c>
    </row>
    <row r="1852" spans="1:23" x14ac:dyDescent="0.25">
      <c r="A1852">
        <v>923</v>
      </c>
      <c r="B1852">
        <v>2167</v>
      </c>
      <c r="C1852" t="s">
        <v>2778</v>
      </c>
      <c r="D1852" t="s">
        <v>21</v>
      </c>
      <c r="E1852" t="s">
        <v>58</v>
      </c>
      <c r="F1852" t="s">
        <v>2779</v>
      </c>
      <c r="G1852" t="str">
        <f>"200712005512"</f>
        <v>200712005512</v>
      </c>
      <c r="H1852">
        <v>1012</v>
      </c>
      <c r="I1852">
        <v>0</v>
      </c>
      <c r="J1852">
        <v>50</v>
      </c>
      <c r="K1852">
        <v>0</v>
      </c>
      <c r="L1852">
        <v>30</v>
      </c>
      <c r="M1852">
        <v>0</v>
      </c>
      <c r="N1852">
        <v>0</v>
      </c>
      <c r="O1852">
        <v>0</v>
      </c>
      <c r="P1852">
        <v>0</v>
      </c>
      <c r="Q1852">
        <v>0</v>
      </c>
      <c r="R1852">
        <v>47</v>
      </c>
      <c r="S1852">
        <v>329</v>
      </c>
      <c r="T1852">
        <v>0</v>
      </c>
      <c r="V1852">
        <v>0</v>
      </c>
      <c r="W1852">
        <v>1421</v>
      </c>
    </row>
    <row r="1853" spans="1:23" x14ac:dyDescent="0.25">
      <c r="H1853">
        <v>703</v>
      </c>
    </row>
    <row r="1854" spans="1:23" x14ac:dyDescent="0.25">
      <c r="A1854">
        <v>924</v>
      </c>
      <c r="B1854">
        <v>42</v>
      </c>
      <c r="C1854" t="s">
        <v>2307</v>
      </c>
      <c r="D1854" t="s">
        <v>556</v>
      </c>
      <c r="E1854" t="s">
        <v>91</v>
      </c>
      <c r="F1854" t="s">
        <v>2780</v>
      </c>
      <c r="G1854" t="str">
        <f>"201511014477"</f>
        <v>201511014477</v>
      </c>
      <c r="H1854" t="s">
        <v>1370</v>
      </c>
      <c r="I1854">
        <v>150</v>
      </c>
      <c r="J1854">
        <v>30</v>
      </c>
      <c r="K1854">
        <v>0</v>
      </c>
      <c r="L1854">
        <v>0</v>
      </c>
      <c r="M1854">
        <v>0</v>
      </c>
      <c r="N1854">
        <v>0</v>
      </c>
      <c r="O1854">
        <v>0</v>
      </c>
      <c r="P1854">
        <v>0</v>
      </c>
      <c r="Q1854">
        <v>0</v>
      </c>
      <c r="R1854">
        <v>37</v>
      </c>
      <c r="S1854">
        <v>259</v>
      </c>
      <c r="T1854">
        <v>0</v>
      </c>
      <c r="V1854">
        <v>2</v>
      </c>
      <c r="W1854" t="s">
        <v>2781</v>
      </c>
    </row>
    <row r="1855" spans="1:23" x14ac:dyDescent="0.25">
      <c r="H1855">
        <v>703</v>
      </c>
    </row>
    <row r="1856" spans="1:23" x14ac:dyDescent="0.25">
      <c r="A1856">
        <v>925</v>
      </c>
      <c r="B1856">
        <v>750</v>
      </c>
      <c r="C1856" t="s">
        <v>1595</v>
      </c>
      <c r="D1856" t="s">
        <v>134</v>
      </c>
      <c r="E1856" t="s">
        <v>1633</v>
      </c>
      <c r="F1856" t="s">
        <v>2782</v>
      </c>
      <c r="G1856" t="str">
        <f>"200802003713"</f>
        <v>200802003713</v>
      </c>
      <c r="H1856" t="s">
        <v>574</v>
      </c>
      <c r="I1856">
        <v>150</v>
      </c>
      <c r="J1856">
        <v>30</v>
      </c>
      <c r="K1856">
        <v>0</v>
      </c>
      <c r="L1856">
        <v>0</v>
      </c>
      <c r="M1856">
        <v>0</v>
      </c>
      <c r="N1856">
        <v>0</v>
      </c>
      <c r="O1856">
        <v>0</v>
      </c>
      <c r="P1856">
        <v>0</v>
      </c>
      <c r="Q1856">
        <v>0</v>
      </c>
      <c r="R1856">
        <v>47</v>
      </c>
      <c r="S1856">
        <v>329</v>
      </c>
      <c r="T1856">
        <v>0</v>
      </c>
      <c r="V1856">
        <v>0</v>
      </c>
      <c r="W1856" t="s">
        <v>2783</v>
      </c>
    </row>
    <row r="1857" spans="1:23" x14ac:dyDescent="0.25">
      <c r="H1857">
        <v>703</v>
      </c>
    </row>
    <row r="1858" spans="1:23" x14ac:dyDescent="0.25">
      <c r="A1858">
        <v>926</v>
      </c>
      <c r="B1858">
        <v>641</v>
      </c>
      <c r="C1858" t="s">
        <v>1968</v>
      </c>
      <c r="D1858" t="s">
        <v>68</v>
      </c>
      <c r="E1858" t="s">
        <v>33</v>
      </c>
      <c r="F1858" t="s">
        <v>2784</v>
      </c>
      <c r="G1858" t="str">
        <f>"00127320"</f>
        <v>00127320</v>
      </c>
      <c r="H1858" t="s">
        <v>2785</v>
      </c>
      <c r="I1858">
        <v>0</v>
      </c>
      <c r="J1858">
        <v>30</v>
      </c>
      <c r="K1858">
        <v>0</v>
      </c>
      <c r="L1858">
        <v>0</v>
      </c>
      <c r="M1858">
        <v>0</v>
      </c>
      <c r="N1858">
        <v>0</v>
      </c>
      <c r="O1858">
        <v>0</v>
      </c>
      <c r="P1858">
        <v>0</v>
      </c>
      <c r="Q1858">
        <v>0</v>
      </c>
      <c r="R1858">
        <v>84</v>
      </c>
      <c r="S1858">
        <v>588</v>
      </c>
      <c r="T1858">
        <v>0</v>
      </c>
      <c r="V1858">
        <v>1</v>
      </c>
      <c r="W1858" t="s">
        <v>2786</v>
      </c>
    </row>
    <row r="1859" spans="1:23" x14ac:dyDescent="0.25">
      <c r="H1859" t="s">
        <v>26</v>
      </c>
    </row>
    <row r="1860" spans="1:23" x14ac:dyDescent="0.25">
      <c r="A1860">
        <v>927</v>
      </c>
      <c r="B1860">
        <v>3173</v>
      </c>
      <c r="C1860" t="s">
        <v>1006</v>
      </c>
      <c r="D1860" t="s">
        <v>2787</v>
      </c>
      <c r="E1860" t="s">
        <v>15</v>
      </c>
      <c r="F1860" t="s">
        <v>2788</v>
      </c>
      <c r="G1860" t="str">
        <f>"00140969"</f>
        <v>00140969</v>
      </c>
      <c r="H1860" t="s">
        <v>2785</v>
      </c>
      <c r="I1860">
        <v>0</v>
      </c>
      <c r="J1860">
        <v>30</v>
      </c>
      <c r="K1860">
        <v>0</v>
      </c>
      <c r="L1860">
        <v>0</v>
      </c>
      <c r="M1860">
        <v>0</v>
      </c>
      <c r="N1860">
        <v>0</v>
      </c>
      <c r="O1860">
        <v>0</v>
      </c>
      <c r="P1860">
        <v>0</v>
      </c>
      <c r="Q1860">
        <v>0</v>
      </c>
      <c r="R1860">
        <v>84</v>
      </c>
      <c r="S1860">
        <v>588</v>
      </c>
      <c r="T1860">
        <v>0</v>
      </c>
      <c r="V1860">
        <v>0</v>
      </c>
      <c r="W1860" t="s">
        <v>2786</v>
      </c>
    </row>
    <row r="1861" spans="1:23" x14ac:dyDescent="0.25">
      <c r="H1861">
        <v>703</v>
      </c>
    </row>
    <row r="1862" spans="1:23" x14ac:dyDescent="0.25">
      <c r="A1862">
        <v>928</v>
      </c>
      <c r="B1862">
        <v>160</v>
      </c>
      <c r="C1862" t="s">
        <v>2789</v>
      </c>
      <c r="D1862" t="s">
        <v>873</v>
      </c>
      <c r="E1862" t="s">
        <v>91</v>
      </c>
      <c r="F1862" t="s">
        <v>2790</v>
      </c>
      <c r="G1862" t="str">
        <f>"201406003955"</f>
        <v>201406003955</v>
      </c>
      <c r="H1862" t="s">
        <v>2791</v>
      </c>
      <c r="I1862">
        <v>0</v>
      </c>
      <c r="J1862">
        <v>0</v>
      </c>
      <c r="K1862">
        <v>0</v>
      </c>
      <c r="L1862">
        <v>0</v>
      </c>
      <c r="M1862">
        <v>0</v>
      </c>
      <c r="N1862">
        <v>0</v>
      </c>
      <c r="O1862">
        <v>0</v>
      </c>
      <c r="P1862">
        <v>0</v>
      </c>
      <c r="Q1862">
        <v>0</v>
      </c>
      <c r="R1862">
        <v>80</v>
      </c>
      <c r="S1862">
        <v>560</v>
      </c>
      <c r="T1862">
        <v>0</v>
      </c>
      <c r="V1862">
        <v>0</v>
      </c>
      <c r="W1862" t="s">
        <v>2792</v>
      </c>
    </row>
    <row r="1863" spans="1:23" x14ac:dyDescent="0.25">
      <c r="H1863" t="s">
        <v>70</v>
      </c>
    </row>
    <row r="1864" spans="1:23" x14ac:dyDescent="0.25">
      <c r="A1864">
        <v>929</v>
      </c>
      <c r="B1864">
        <v>225</v>
      </c>
      <c r="C1864" t="s">
        <v>2793</v>
      </c>
      <c r="D1864" t="s">
        <v>1401</v>
      </c>
      <c r="E1864" t="s">
        <v>76</v>
      </c>
      <c r="F1864" t="s">
        <v>2794</v>
      </c>
      <c r="G1864" t="str">
        <f>"201406014425"</f>
        <v>201406014425</v>
      </c>
      <c r="H1864" t="s">
        <v>2437</v>
      </c>
      <c r="I1864">
        <v>150</v>
      </c>
      <c r="J1864">
        <v>70</v>
      </c>
      <c r="K1864">
        <v>0</v>
      </c>
      <c r="L1864">
        <v>0</v>
      </c>
      <c r="M1864">
        <v>0</v>
      </c>
      <c r="N1864">
        <v>0</v>
      </c>
      <c r="O1864">
        <v>0</v>
      </c>
      <c r="P1864">
        <v>0</v>
      </c>
      <c r="Q1864">
        <v>0</v>
      </c>
      <c r="R1864">
        <v>51</v>
      </c>
      <c r="S1864">
        <v>357</v>
      </c>
      <c r="T1864">
        <v>0</v>
      </c>
      <c r="V1864">
        <v>0</v>
      </c>
      <c r="W1864" t="s">
        <v>2795</v>
      </c>
    </row>
    <row r="1865" spans="1:23" x14ac:dyDescent="0.25">
      <c r="H1865">
        <v>703</v>
      </c>
    </row>
    <row r="1866" spans="1:23" x14ac:dyDescent="0.25">
      <c r="A1866">
        <v>930</v>
      </c>
      <c r="B1866">
        <v>2003</v>
      </c>
      <c r="C1866" t="s">
        <v>2796</v>
      </c>
      <c r="D1866" t="s">
        <v>1670</v>
      </c>
      <c r="E1866" t="s">
        <v>99</v>
      </c>
      <c r="F1866" t="s">
        <v>2797</v>
      </c>
      <c r="G1866" t="str">
        <f>"201511039780"</f>
        <v>201511039780</v>
      </c>
      <c r="H1866" t="s">
        <v>2798</v>
      </c>
      <c r="I1866">
        <v>0</v>
      </c>
      <c r="J1866">
        <v>70</v>
      </c>
      <c r="K1866">
        <v>0</v>
      </c>
      <c r="L1866">
        <v>0</v>
      </c>
      <c r="M1866">
        <v>0</v>
      </c>
      <c r="N1866">
        <v>0</v>
      </c>
      <c r="O1866">
        <v>0</v>
      </c>
      <c r="P1866">
        <v>0</v>
      </c>
      <c r="Q1866">
        <v>0</v>
      </c>
      <c r="R1866">
        <v>62</v>
      </c>
      <c r="S1866">
        <v>434</v>
      </c>
      <c r="T1866">
        <v>0</v>
      </c>
      <c r="V1866">
        <v>0</v>
      </c>
      <c r="W1866" t="s">
        <v>2799</v>
      </c>
    </row>
    <row r="1867" spans="1:23" x14ac:dyDescent="0.25">
      <c r="H1867" t="s">
        <v>70</v>
      </c>
    </row>
    <row r="1868" spans="1:23" x14ac:dyDescent="0.25">
      <c r="A1868">
        <v>931</v>
      </c>
      <c r="B1868">
        <v>1044</v>
      </c>
      <c r="C1868" t="s">
        <v>2800</v>
      </c>
      <c r="D1868" t="s">
        <v>2801</v>
      </c>
      <c r="E1868" t="s">
        <v>2802</v>
      </c>
      <c r="F1868" t="s">
        <v>2803</v>
      </c>
      <c r="G1868" t="str">
        <f>"00080412"</f>
        <v>00080412</v>
      </c>
      <c r="H1868">
        <v>1034</v>
      </c>
      <c r="I1868">
        <v>150</v>
      </c>
      <c r="J1868">
        <v>0</v>
      </c>
      <c r="K1868">
        <v>0</v>
      </c>
      <c r="L1868">
        <v>0</v>
      </c>
      <c r="M1868">
        <v>0</v>
      </c>
      <c r="N1868">
        <v>0</v>
      </c>
      <c r="O1868">
        <v>0</v>
      </c>
      <c r="P1868">
        <v>0</v>
      </c>
      <c r="Q1868">
        <v>0</v>
      </c>
      <c r="R1868">
        <v>33</v>
      </c>
      <c r="S1868">
        <v>231</v>
      </c>
      <c r="T1868">
        <v>0</v>
      </c>
      <c r="V1868">
        <v>0</v>
      </c>
      <c r="W1868">
        <v>1415</v>
      </c>
    </row>
    <row r="1869" spans="1:23" x14ac:dyDescent="0.25">
      <c r="H1869">
        <v>703</v>
      </c>
    </row>
    <row r="1870" spans="1:23" x14ac:dyDescent="0.25">
      <c r="A1870">
        <v>932</v>
      </c>
      <c r="B1870">
        <v>216</v>
      </c>
      <c r="C1870" t="s">
        <v>2804</v>
      </c>
      <c r="D1870" t="s">
        <v>2805</v>
      </c>
      <c r="E1870" t="s">
        <v>1633</v>
      </c>
      <c r="F1870" t="s">
        <v>2806</v>
      </c>
      <c r="G1870" t="str">
        <f>"00025145"</f>
        <v>00025145</v>
      </c>
      <c r="H1870">
        <v>913</v>
      </c>
      <c r="I1870">
        <v>150</v>
      </c>
      <c r="J1870">
        <v>30</v>
      </c>
      <c r="K1870">
        <v>0</v>
      </c>
      <c r="L1870">
        <v>0</v>
      </c>
      <c r="M1870">
        <v>0</v>
      </c>
      <c r="N1870">
        <v>0</v>
      </c>
      <c r="O1870">
        <v>0</v>
      </c>
      <c r="P1870">
        <v>0</v>
      </c>
      <c r="Q1870">
        <v>0</v>
      </c>
      <c r="R1870">
        <v>46</v>
      </c>
      <c r="S1870">
        <v>322</v>
      </c>
      <c r="T1870">
        <v>0</v>
      </c>
      <c r="V1870">
        <v>2</v>
      </c>
      <c r="W1870">
        <v>1415</v>
      </c>
    </row>
    <row r="1871" spans="1:23" x14ac:dyDescent="0.25">
      <c r="H1871">
        <v>703</v>
      </c>
    </row>
    <row r="1872" spans="1:23" x14ac:dyDescent="0.25">
      <c r="A1872">
        <v>933</v>
      </c>
      <c r="B1872">
        <v>2117</v>
      </c>
      <c r="C1872" t="s">
        <v>2807</v>
      </c>
      <c r="D1872" t="s">
        <v>1978</v>
      </c>
      <c r="E1872" t="s">
        <v>105</v>
      </c>
      <c r="F1872" t="s">
        <v>2808</v>
      </c>
      <c r="G1872" t="str">
        <f>"00199895"</f>
        <v>00199895</v>
      </c>
      <c r="H1872">
        <v>924</v>
      </c>
      <c r="I1872">
        <v>0</v>
      </c>
      <c r="J1872">
        <v>0</v>
      </c>
      <c r="K1872">
        <v>0</v>
      </c>
      <c r="L1872">
        <v>0</v>
      </c>
      <c r="M1872">
        <v>0</v>
      </c>
      <c r="N1872">
        <v>0</v>
      </c>
      <c r="O1872">
        <v>0</v>
      </c>
      <c r="P1872">
        <v>0</v>
      </c>
      <c r="Q1872">
        <v>0</v>
      </c>
      <c r="R1872">
        <v>70</v>
      </c>
      <c r="S1872">
        <v>490</v>
      </c>
      <c r="T1872">
        <v>0</v>
      </c>
      <c r="V1872">
        <v>0</v>
      </c>
      <c r="W1872">
        <v>1414</v>
      </c>
    </row>
    <row r="1873" spans="1:23" x14ac:dyDescent="0.25">
      <c r="H1873">
        <v>703</v>
      </c>
    </row>
    <row r="1874" spans="1:23" x14ac:dyDescent="0.25">
      <c r="A1874">
        <v>934</v>
      </c>
      <c r="B1874">
        <v>1353</v>
      </c>
      <c r="C1874" t="s">
        <v>2809</v>
      </c>
      <c r="D1874" t="s">
        <v>273</v>
      </c>
      <c r="E1874" t="s">
        <v>15</v>
      </c>
      <c r="F1874" t="s">
        <v>2810</v>
      </c>
      <c r="G1874" t="str">
        <f>"201511014254"</f>
        <v>201511014254</v>
      </c>
      <c r="H1874" t="s">
        <v>2811</v>
      </c>
      <c r="I1874">
        <v>0</v>
      </c>
      <c r="J1874">
        <v>50</v>
      </c>
      <c r="K1874">
        <v>0</v>
      </c>
      <c r="L1874">
        <v>0</v>
      </c>
      <c r="M1874">
        <v>0</v>
      </c>
      <c r="N1874">
        <v>0</v>
      </c>
      <c r="O1874">
        <v>0</v>
      </c>
      <c r="P1874">
        <v>0</v>
      </c>
      <c r="Q1874">
        <v>0</v>
      </c>
      <c r="R1874">
        <v>84</v>
      </c>
      <c r="S1874">
        <v>588</v>
      </c>
      <c r="T1874">
        <v>0</v>
      </c>
      <c r="V1874">
        <v>2</v>
      </c>
      <c r="W1874" t="s">
        <v>2812</v>
      </c>
    </row>
    <row r="1875" spans="1:23" x14ac:dyDescent="0.25">
      <c r="H1875">
        <v>703</v>
      </c>
    </row>
    <row r="1876" spans="1:23" x14ac:dyDescent="0.25">
      <c r="A1876">
        <v>935</v>
      </c>
      <c r="B1876">
        <v>1793</v>
      </c>
      <c r="C1876" t="s">
        <v>2813</v>
      </c>
      <c r="D1876" t="s">
        <v>273</v>
      </c>
      <c r="E1876" t="s">
        <v>62</v>
      </c>
      <c r="F1876" t="s">
        <v>2814</v>
      </c>
      <c r="G1876" t="str">
        <f>"00224689"</f>
        <v>00224689</v>
      </c>
      <c r="H1876">
        <v>1100</v>
      </c>
      <c r="I1876">
        <v>150</v>
      </c>
      <c r="J1876">
        <v>30</v>
      </c>
      <c r="K1876">
        <v>0</v>
      </c>
      <c r="L1876">
        <v>0</v>
      </c>
      <c r="M1876">
        <v>0</v>
      </c>
      <c r="N1876">
        <v>0</v>
      </c>
      <c r="O1876">
        <v>0</v>
      </c>
      <c r="P1876">
        <v>0</v>
      </c>
      <c r="Q1876">
        <v>0</v>
      </c>
      <c r="R1876">
        <v>19</v>
      </c>
      <c r="S1876">
        <v>133</v>
      </c>
      <c r="T1876">
        <v>0</v>
      </c>
      <c r="V1876">
        <v>0</v>
      </c>
      <c r="W1876">
        <v>1413</v>
      </c>
    </row>
    <row r="1877" spans="1:23" x14ac:dyDescent="0.25">
      <c r="H1877" t="s">
        <v>26</v>
      </c>
    </row>
    <row r="1878" spans="1:23" x14ac:dyDescent="0.25">
      <c r="A1878">
        <v>936</v>
      </c>
      <c r="B1878">
        <v>2353</v>
      </c>
      <c r="C1878" t="s">
        <v>2815</v>
      </c>
      <c r="D1878" t="s">
        <v>2816</v>
      </c>
      <c r="E1878" t="s">
        <v>91</v>
      </c>
      <c r="F1878" t="s">
        <v>2817</v>
      </c>
      <c r="G1878" t="str">
        <f>"201410004227"</f>
        <v>201410004227</v>
      </c>
      <c r="H1878">
        <v>825</v>
      </c>
      <c r="I1878">
        <v>0</v>
      </c>
      <c r="J1878">
        <v>0</v>
      </c>
      <c r="K1878">
        <v>0</v>
      </c>
      <c r="L1878">
        <v>0</v>
      </c>
      <c r="M1878">
        <v>0</v>
      </c>
      <c r="N1878">
        <v>0</v>
      </c>
      <c r="O1878">
        <v>0</v>
      </c>
      <c r="P1878">
        <v>0</v>
      </c>
      <c r="Q1878">
        <v>0</v>
      </c>
      <c r="R1878">
        <v>84</v>
      </c>
      <c r="S1878">
        <v>588</v>
      </c>
      <c r="T1878">
        <v>0</v>
      </c>
      <c r="V1878">
        <v>0</v>
      </c>
      <c r="W1878">
        <v>1413</v>
      </c>
    </row>
    <row r="1879" spans="1:23" x14ac:dyDescent="0.25">
      <c r="H1879">
        <v>703</v>
      </c>
    </row>
    <row r="1880" spans="1:23" x14ac:dyDescent="0.25">
      <c r="A1880">
        <v>937</v>
      </c>
      <c r="B1880">
        <v>274</v>
      </c>
      <c r="C1880" t="s">
        <v>2818</v>
      </c>
      <c r="D1880" t="s">
        <v>91</v>
      </c>
      <c r="E1880" t="s">
        <v>105</v>
      </c>
      <c r="F1880" t="s">
        <v>2819</v>
      </c>
      <c r="G1880" t="str">
        <f>"00163631"</f>
        <v>00163631</v>
      </c>
      <c r="H1880">
        <v>825</v>
      </c>
      <c r="I1880">
        <v>0</v>
      </c>
      <c r="J1880">
        <v>0</v>
      </c>
      <c r="K1880">
        <v>0</v>
      </c>
      <c r="L1880">
        <v>0</v>
      </c>
      <c r="M1880">
        <v>0</v>
      </c>
      <c r="N1880">
        <v>0</v>
      </c>
      <c r="O1880">
        <v>0</v>
      </c>
      <c r="P1880">
        <v>0</v>
      </c>
      <c r="Q1880">
        <v>0</v>
      </c>
      <c r="R1880">
        <v>84</v>
      </c>
      <c r="S1880">
        <v>588</v>
      </c>
      <c r="T1880">
        <v>0</v>
      </c>
      <c r="V1880">
        <v>0</v>
      </c>
      <c r="W1880">
        <v>1413</v>
      </c>
    </row>
    <row r="1881" spans="1:23" x14ac:dyDescent="0.25">
      <c r="H1881">
        <v>703</v>
      </c>
    </row>
    <row r="1882" spans="1:23" x14ac:dyDescent="0.25">
      <c r="A1882">
        <v>938</v>
      </c>
      <c r="B1882">
        <v>2018</v>
      </c>
      <c r="C1882" t="s">
        <v>2820</v>
      </c>
      <c r="D1882" t="s">
        <v>62</v>
      </c>
      <c r="E1882" t="s">
        <v>1633</v>
      </c>
      <c r="F1882" t="s">
        <v>2821</v>
      </c>
      <c r="G1882" t="str">
        <f>"00192494"</f>
        <v>00192494</v>
      </c>
      <c r="H1882">
        <v>825</v>
      </c>
      <c r="I1882">
        <v>0</v>
      </c>
      <c r="J1882">
        <v>0</v>
      </c>
      <c r="K1882">
        <v>0</v>
      </c>
      <c r="L1882">
        <v>0</v>
      </c>
      <c r="M1882">
        <v>0</v>
      </c>
      <c r="N1882">
        <v>0</v>
      </c>
      <c r="O1882">
        <v>0</v>
      </c>
      <c r="P1882">
        <v>0</v>
      </c>
      <c r="Q1882">
        <v>0</v>
      </c>
      <c r="R1882">
        <v>84</v>
      </c>
      <c r="S1882">
        <v>588</v>
      </c>
      <c r="T1882">
        <v>0</v>
      </c>
      <c r="V1882">
        <v>1</v>
      </c>
      <c r="W1882">
        <v>1413</v>
      </c>
    </row>
    <row r="1883" spans="1:23" x14ac:dyDescent="0.25">
      <c r="H1883">
        <v>703</v>
      </c>
    </row>
    <row r="1884" spans="1:23" x14ac:dyDescent="0.25">
      <c r="A1884">
        <v>939</v>
      </c>
      <c r="B1884">
        <v>987</v>
      </c>
      <c r="C1884" t="s">
        <v>338</v>
      </c>
      <c r="D1884" t="s">
        <v>2822</v>
      </c>
      <c r="E1884" t="s">
        <v>33</v>
      </c>
      <c r="F1884" t="s">
        <v>2823</v>
      </c>
      <c r="G1884" t="str">
        <f>"201406013584"</f>
        <v>201406013584</v>
      </c>
      <c r="H1884" t="s">
        <v>2824</v>
      </c>
      <c r="I1884">
        <v>150</v>
      </c>
      <c r="J1884">
        <v>30</v>
      </c>
      <c r="K1884">
        <v>0</v>
      </c>
      <c r="L1884">
        <v>0</v>
      </c>
      <c r="M1884">
        <v>0</v>
      </c>
      <c r="N1884">
        <v>0</v>
      </c>
      <c r="O1884">
        <v>0</v>
      </c>
      <c r="P1884">
        <v>0</v>
      </c>
      <c r="Q1884">
        <v>0</v>
      </c>
      <c r="R1884">
        <v>53</v>
      </c>
      <c r="S1884">
        <v>371</v>
      </c>
      <c r="T1884">
        <v>0</v>
      </c>
      <c r="V1884">
        <v>1</v>
      </c>
      <c r="W1884" t="s">
        <v>2825</v>
      </c>
    </row>
    <row r="1885" spans="1:23" x14ac:dyDescent="0.25">
      <c r="H1885">
        <v>703</v>
      </c>
    </row>
    <row r="1886" spans="1:23" x14ac:dyDescent="0.25">
      <c r="A1886">
        <v>940</v>
      </c>
      <c r="B1886">
        <v>1036</v>
      </c>
      <c r="C1886" t="s">
        <v>2826</v>
      </c>
      <c r="D1886" t="s">
        <v>76</v>
      </c>
      <c r="E1886" t="s">
        <v>1818</v>
      </c>
      <c r="F1886" t="s">
        <v>2827</v>
      </c>
      <c r="G1886" t="str">
        <f>"201406009534"</f>
        <v>201406009534</v>
      </c>
      <c r="H1886" t="s">
        <v>2191</v>
      </c>
      <c r="I1886">
        <v>0</v>
      </c>
      <c r="J1886">
        <v>70</v>
      </c>
      <c r="K1886">
        <v>0</v>
      </c>
      <c r="L1886">
        <v>0</v>
      </c>
      <c r="M1886">
        <v>0</v>
      </c>
      <c r="N1886">
        <v>0</v>
      </c>
      <c r="O1886">
        <v>0</v>
      </c>
      <c r="P1886">
        <v>0</v>
      </c>
      <c r="Q1886">
        <v>0</v>
      </c>
      <c r="R1886">
        <v>84</v>
      </c>
      <c r="S1886">
        <v>588</v>
      </c>
      <c r="T1886">
        <v>0</v>
      </c>
      <c r="V1886">
        <v>0</v>
      </c>
      <c r="W1886" t="s">
        <v>2828</v>
      </c>
    </row>
    <row r="1887" spans="1:23" x14ac:dyDescent="0.25">
      <c r="H1887">
        <v>703</v>
      </c>
    </row>
    <row r="1888" spans="1:23" x14ac:dyDescent="0.25">
      <c r="A1888">
        <v>941</v>
      </c>
      <c r="B1888">
        <v>662</v>
      </c>
      <c r="C1888" t="s">
        <v>2829</v>
      </c>
      <c r="D1888" t="s">
        <v>219</v>
      </c>
      <c r="E1888" t="s">
        <v>91</v>
      </c>
      <c r="F1888" t="s">
        <v>2830</v>
      </c>
      <c r="G1888" t="str">
        <f>"201410007404"</f>
        <v>201410007404</v>
      </c>
      <c r="H1888">
        <v>1067</v>
      </c>
      <c r="I1888">
        <v>0</v>
      </c>
      <c r="J1888">
        <v>70</v>
      </c>
      <c r="K1888">
        <v>0</v>
      </c>
      <c r="L1888">
        <v>50</v>
      </c>
      <c r="M1888">
        <v>0</v>
      </c>
      <c r="N1888">
        <v>0</v>
      </c>
      <c r="O1888">
        <v>0</v>
      </c>
      <c r="P1888">
        <v>0</v>
      </c>
      <c r="Q1888">
        <v>0</v>
      </c>
      <c r="R1888">
        <v>32</v>
      </c>
      <c r="S1888">
        <v>224</v>
      </c>
      <c r="T1888">
        <v>0</v>
      </c>
      <c r="V1888">
        <v>0</v>
      </c>
      <c r="W1888">
        <v>1411</v>
      </c>
    </row>
    <row r="1889" spans="1:23" x14ac:dyDescent="0.25">
      <c r="H1889" t="s">
        <v>26</v>
      </c>
    </row>
    <row r="1890" spans="1:23" x14ac:dyDescent="0.25">
      <c r="A1890">
        <v>942</v>
      </c>
      <c r="B1890">
        <v>639</v>
      </c>
      <c r="C1890" t="s">
        <v>2831</v>
      </c>
      <c r="D1890" t="s">
        <v>556</v>
      </c>
      <c r="E1890" t="s">
        <v>135</v>
      </c>
      <c r="F1890" t="s">
        <v>2832</v>
      </c>
      <c r="G1890" t="str">
        <f>"00227955"</f>
        <v>00227955</v>
      </c>
      <c r="H1890" t="s">
        <v>2833</v>
      </c>
      <c r="I1890">
        <v>0</v>
      </c>
      <c r="J1890">
        <v>30</v>
      </c>
      <c r="K1890">
        <v>0</v>
      </c>
      <c r="L1890">
        <v>0</v>
      </c>
      <c r="M1890">
        <v>0</v>
      </c>
      <c r="N1890">
        <v>0</v>
      </c>
      <c r="O1890">
        <v>0</v>
      </c>
      <c r="P1890">
        <v>0</v>
      </c>
      <c r="Q1890">
        <v>0</v>
      </c>
      <c r="R1890">
        <v>82</v>
      </c>
      <c r="S1890">
        <v>574</v>
      </c>
      <c r="T1890">
        <v>0</v>
      </c>
      <c r="V1890">
        <v>0</v>
      </c>
      <c r="W1890" t="s">
        <v>2834</v>
      </c>
    </row>
    <row r="1891" spans="1:23" x14ac:dyDescent="0.25">
      <c r="H1891">
        <v>703</v>
      </c>
    </row>
    <row r="1892" spans="1:23" x14ac:dyDescent="0.25">
      <c r="A1892">
        <v>943</v>
      </c>
      <c r="B1892">
        <v>2695</v>
      </c>
      <c r="C1892" t="s">
        <v>1340</v>
      </c>
      <c r="D1892" t="s">
        <v>112</v>
      </c>
      <c r="E1892" t="s">
        <v>2835</v>
      </c>
      <c r="F1892" t="s">
        <v>2836</v>
      </c>
      <c r="G1892" t="str">
        <f>"201406013580"</f>
        <v>201406013580</v>
      </c>
      <c r="H1892">
        <v>770</v>
      </c>
      <c r="I1892">
        <v>0</v>
      </c>
      <c r="J1892">
        <v>50</v>
      </c>
      <c r="K1892">
        <v>0</v>
      </c>
      <c r="L1892">
        <v>0</v>
      </c>
      <c r="M1892">
        <v>0</v>
      </c>
      <c r="N1892">
        <v>0</v>
      </c>
      <c r="O1892">
        <v>0</v>
      </c>
      <c r="P1892">
        <v>0</v>
      </c>
      <c r="Q1892">
        <v>0</v>
      </c>
      <c r="R1892">
        <v>84</v>
      </c>
      <c r="S1892">
        <v>588</v>
      </c>
      <c r="T1892">
        <v>0</v>
      </c>
      <c r="V1892">
        <v>0</v>
      </c>
      <c r="W1892">
        <v>1408</v>
      </c>
    </row>
    <row r="1893" spans="1:23" x14ac:dyDescent="0.25">
      <c r="H1893">
        <v>703</v>
      </c>
    </row>
    <row r="1894" spans="1:23" x14ac:dyDescent="0.25">
      <c r="A1894">
        <v>944</v>
      </c>
      <c r="B1894">
        <v>457</v>
      </c>
      <c r="C1894" t="s">
        <v>1683</v>
      </c>
      <c r="D1894" t="s">
        <v>592</v>
      </c>
      <c r="E1894" t="s">
        <v>109</v>
      </c>
      <c r="F1894" t="s">
        <v>2837</v>
      </c>
      <c r="G1894" t="str">
        <f>"00072824"</f>
        <v>00072824</v>
      </c>
      <c r="H1894" t="s">
        <v>1212</v>
      </c>
      <c r="I1894">
        <v>0</v>
      </c>
      <c r="J1894">
        <v>0</v>
      </c>
      <c r="K1894">
        <v>0</v>
      </c>
      <c r="L1894">
        <v>0</v>
      </c>
      <c r="M1894">
        <v>0</v>
      </c>
      <c r="N1894">
        <v>0</v>
      </c>
      <c r="O1894">
        <v>0</v>
      </c>
      <c r="P1894">
        <v>0</v>
      </c>
      <c r="Q1894">
        <v>0</v>
      </c>
      <c r="R1894">
        <v>84</v>
      </c>
      <c r="S1894">
        <v>588</v>
      </c>
      <c r="T1894">
        <v>0</v>
      </c>
      <c r="V1894">
        <v>1</v>
      </c>
      <c r="W1894" t="s">
        <v>2838</v>
      </c>
    </row>
    <row r="1895" spans="1:23" x14ac:dyDescent="0.25">
      <c r="H1895">
        <v>703</v>
      </c>
    </row>
    <row r="1896" spans="1:23" x14ac:dyDescent="0.25">
      <c r="A1896">
        <v>945</v>
      </c>
      <c r="B1896">
        <v>2369</v>
      </c>
      <c r="C1896" t="s">
        <v>2839</v>
      </c>
      <c r="D1896" t="s">
        <v>293</v>
      </c>
      <c r="E1896" t="s">
        <v>15</v>
      </c>
      <c r="F1896" t="s">
        <v>2840</v>
      </c>
      <c r="G1896" t="str">
        <f>"201402012052"</f>
        <v>201402012052</v>
      </c>
      <c r="H1896" t="s">
        <v>1212</v>
      </c>
      <c r="I1896">
        <v>0</v>
      </c>
      <c r="J1896">
        <v>0</v>
      </c>
      <c r="K1896">
        <v>0</v>
      </c>
      <c r="L1896">
        <v>0</v>
      </c>
      <c r="M1896">
        <v>0</v>
      </c>
      <c r="N1896">
        <v>0</v>
      </c>
      <c r="O1896">
        <v>0</v>
      </c>
      <c r="P1896">
        <v>0</v>
      </c>
      <c r="Q1896">
        <v>0</v>
      </c>
      <c r="R1896">
        <v>84</v>
      </c>
      <c r="S1896">
        <v>588</v>
      </c>
      <c r="T1896">
        <v>0</v>
      </c>
      <c r="V1896">
        <v>0</v>
      </c>
      <c r="W1896" t="s">
        <v>2838</v>
      </c>
    </row>
    <row r="1897" spans="1:23" x14ac:dyDescent="0.25">
      <c r="H1897">
        <v>703</v>
      </c>
    </row>
    <row r="1898" spans="1:23" x14ac:dyDescent="0.25">
      <c r="A1898">
        <v>946</v>
      </c>
      <c r="B1898">
        <v>1748</v>
      </c>
      <c r="C1898" t="s">
        <v>2530</v>
      </c>
      <c r="D1898" t="s">
        <v>20</v>
      </c>
      <c r="E1898" t="s">
        <v>424</v>
      </c>
      <c r="F1898" t="s">
        <v>2841</v>
      </c>
      <c r="G1898" t="str">
        <f>"00226244"</f>
        <v>00226244</v>
      </c>
      <c r="H1898" t="s">
        <v>1212</v>
      </c>
      <c r="I1898">
        <v>0</v>
      </c>
      <c r="J1898">
        <v>0</v>
      </c>
      <c r="K1898">
        <v>0</v>
      </c>
      <c r="L1898">
        <v>0</v>
      </c>
      <c r="M1898">
        <v>0</v>
      </c>
      <c r="N1898">
        <v>0</v>
      </c>
      <c r="O1898">
        <v>0</v>
      </c>
      <c r="P1898">
        <v>0</v>
      </c>
      <c r="Q1898">
        <v>0</v>
      </c>
      <c r="R1898">
        <v>84</v>
      </c>
      <c r="S1898">
        <v>588</v>
      </c>
      <c r="T1898">
        <v>0</v>
      </c>
      <c r="V1898">
        <v>0</v>
      </c>
      <c r="W1898" t="s">
        <v>2838</v>
      </c>
    </row>
    <row r="1899" spans="1:23" x14ac:dyDescent="0.25">
      <c r="H1899">
        <v>703</v>
      </c>
    </row>
    <row r="1900" spans="1:23" x14ac:dyDescent="0.25">
      <c r="A1900">
        <v>947</v>
      </c>
      <c r="B1900">
        <v>2774</v>
      </c>
      <c r="C1900" t="s">
        <v>2842</v>
      </c>
      <c r="D1900" t="s">
        <v>2243</v>
      </c>
      <c r="E1900" t="s">
        <v>58</v>
      </c>
      <c r="F1900" t="s">
        <v>2843</v>
      </c>
      <c r="G1900" t="str">
        <f>"200801009079"</f>
        <v>200801009079</v>
      </c>
      <c r="H1900">
        <v>737</v>
      </c>
      <c r="I1900">
        <v>150</v>
      </c>
      <c r="J1900">
        <v>70</v>
      </c>
      <c r="K1900">
        <v>0</v>
      </c>
      <c r="L1900">
        <v>50</v>
      </c>
      <c r="M1900">
        <v>0</v>
      </c>
      <c r="N1900">
        <v>0</v>
      </c>
      <c r="O1900">
        <v>0</v>
      </c>
      <c r="P1900">
        <v>0</v>
      </c>
      <c r="Q1900">
        <v>0</v>
      </c>
      <c r="R1900">
        <v>57</v>
      </c>
      <c r="S1900">
        <v>399</v>
      </c>
      <c r="T1900">
        <v>0</v>
      </c>
      <c r="V1900">
        <v>0</v>
      </c>
      <c r="W1900">
        <v>1406</v>
      </c>
    </row>
    <row r="1901" spans="1:23" x14ac:dyDescent="0.25">
      <c r="H1901" t="s">
        <v>26</v>
      </c>
    </row>
    <row r="1902" spans="1:23" x14ac:dyDescent="0.25">
      <c r="A1902">
        <v>948</v>
      </c>
      <c r="B1902">
        <v>433</v>
      </c>
      <c r="C1902" t="s">
        <v>2844</v>
      </c>
      <c r="D1902" t="s">
        <v>28</v>
      </c>
      <c r="E1902" t="s">
        <v>99</v>
      </c>
      <c r="F1902" t="s">
        <v>2845</v>
      </c>
      <c r="G1902" t="str">
        <f>"00225564"</f>
        <v>00225564</v>
      </c>
      <c r="H1902" t="s">
        <v>1228</v>
      </c>
      <c r="I1902">
        <v>0</v>
      </c>
      <c r="J1902">
        <v>30</v>
      </c>
      <c r="K1902">
        <v>0</v>
      </c>
      <c r="L1902">
        <v>0</v>
      </c>
      <c r="M1902">
        <v>0</v>
      </c>
      <c r="N1902">
        <v>0</v>
      </c>
      <c r="O1902">
        <v>0</v>
      </c>
      <c r="P1902">
        <v>0</v>
      </c>
      <c r="Q1902">
        <v>0</v>
      </c>
      <c r="R1902">
        <v>84</v>
      </c>
      <c r="S1902">
        <v>588</v>
      </c>
      <c r="T1902">
        <v>0</v>
      </c>
      <c r="V1902">
        <v>0</v>
      </c>
      <c r="W1902" t="s">
        <v>2846</v>
      </c>
    </row>
    <row r="1903" spans="1:23" x14ac:dyDescent="0.25">
      <c r="H1903">
        <v>703</v>
      </c>
    </row>
    <row r="1904" spans="1:23" x14ac:dyDescent="0.25">
      <c r="A1904">
        <v>949</v>
      </c>
      <c r="B1904">
        <v>1922</v>
      </c>
      <c r="C1904" t="s">
        <v>2847</v>
      </c>
      <c r="D1904" t="s">
        <v>2848</v>
      </c>
      <c r="E1904" t="s">
        <v>607</v>
      </c>
      <c r="F1904" t="s">
        <v>2849</v>
      </c>
      <c r="G1904" t="str">
        <f>"201406008123"</f>
        <v>201406008123</v>
      </c>
      <c r="H1904">
        <v>858</v>
      </c>
      <c r="I1904">
        <v>0</v>
      </c>
      <c r="J1904">
        <v>70</v>
      </c>
      <c r="K1904">
        <v>0</v>
      </c>
      <c r="L1904">
        <v>0</v>
      </c>
      <c r="M1904">
        <v>0</v>
      </c>
      <c r="N1904">
        <v>0</v>
      </c>
      <c r="O1904">
        <v>0</v>
      </c>
      <c r="P1904">
        <v>0</v>
      </c>
      <c r="Q1904">
        <v>0</v>
      </c>
      <c r="R1904">
        <v>68</v>
      </c>
      <c r="S1904">
        <v>476</v>
      </c>
      <c r="T1904">
        <v>0</v>
      </c>
      <c r="V1904">
        <v>0</v>
      </c>
      <c r="W1904">
        <v>1404</v>
      </c>
    </row>
    <row r="1905" spans="1:23" x14ac:dyDescent="0.25">
      <c r="H1905">
        <v>703</v>
      </c>
    </row>
    <row r="1906" spans="1:23" x14ac:dyDescent="0.25">
      <c r="A1906">
        <v>950</v>
      </c>
      <c r="B1906">
        <v>170</v>
      </c>
      <c r="C1906" t="s">
        <v>2850</v>
      </c>
      <c r="D1906" t="s">
        <v>2851</v>
      </c>
      <c r="E1906" t="s">
        <v>62</v>
      </c>
      <c r="F1906" t="s">
        <v>2852</v>
      </c>
      <c r="G1906" t="str">
        <f>"201409006452"</f>
        <v>201409006452</v>
      </c>
      <c r="H1906" t="s">
        <v>281</v>
      </c>
      <c r="I1906">
        <v>0</v>
      </c>
      <c r="J1906">
        <v>70</v>
      </c>
      <c r="K1906">
        <v>0</v>
      </c>
      <c r="L1906">
        <v>0</v>
      </c>
      <c r="M1906">
        <v>0</v>
      </c>
      <c r="N1906">
        <v>0</v>
      </c>
      <c r="O1906">
        <v>0</v>
      </c>
      <c r="P1906">
        <v>0</v>
      </c>
      <c r="Q1906">
        <v>0</v>
      </c>
      <c r="R1906">
        <v>42</v>
      </c>
      <c r="S1906">
        <v>294</v>
      </c>
      <c r="T1906">
        <v>0</v>
      </c>
      <c r="V1906">
        <v>0</v>
      </c>
      <c r="W1906" t="s">
        <v>2853</v>
      </c>
    </row>
    <row r="1907" spans="1:23" x14ac:dyDescent="0.25">
      <c r="H1907" t="s">
        <v>26</v>
      </c>
    </row>
    <row r="1908" spans="1:23" x14ac:dyDescent="0.25">
      <c r="A1908">
        <v>951</v>
      </c>
      <c r="B1908">
        <v>2202</v>
      </c>
      <c r="C1908" t="s">
        <v>2854</v>
      </c>
      <c r="D1908" t="s">
        <v>21</v>
      </c>
      <c r="E1908" t="s">
        <v>15</v>
      </c>
      <c r="F1908" t="s">
        <v>2855</v>
      </c>
      <c r="G1908" t="str">
        <f>"201511035657"</f>
        <v>201511035657</v>
      </c>
      <c r="H1908" t="s">
        <v>2856</v>
      </c>
      <c r="I1908">
        <v>0</v>
      </c>
      <c r="J1908">
        <v>0</v>
      </c>
      <c r="K1908">
        <v>0</v>
      </c>
      <c r="L1908">
        <v>0</v>
      </c>
      <c r="M1908">
        <v>0</v>
      </c>
      <c r="N1908">
        <v>0</v>
      </c>
      <c r="O1908">
        <v>0</v>
      </c>
      <c r="P1908">
        <v>0</v>
      </c>
      <c r="Q1908">
        <v>0</v>
      </c>
      <c r="R1908">
        <v>84</v>
      </c>
      <c r="S1908">
        <v>588</v>
      </c>
      <c r="T1908">
        <v>0</v>
      </c>
      <c r="V1908">
        <v>1</v>
      </c>
      <c r="W1908" t="s">
        <v>2857</v>
      </c>
    </row>
    <row r="1909" spans="1:23" x14ac:dyDescent="0.25">
      <c r="H1909">
        <v>703</v>
      </c>
    </row>
    <row r="1910" spans="1:23" x14ac:dyDescent="0.25">
      <c r="A1910">
        <v>952</v>
      </c>
      <c r="B1910">
        <v>580</v>
      </c>
      <c r="C1910" t="s">
        <v>2858</v>
      </c>
      <c r="D1910" t="s">
        <v>393</v>
      </c>
      <c r="E1910" t="s">
        <v>53</v>
      </c>
      <c r="F1910" t="s">
        <v>2859</v>
      </c>
      <c r="G1910" t="str">
        <f>"00141345"</f>
        <v>00141345</v>
      </c>
      <c r="H1910" t="s">
        <v>158</v>
      </c>
      <c r="I1910">
        <v>150</v>
      </c>
      <c r="J1910">
        <v>0</v>
      </c>
      <c r="K1910">
        <v>0</v>
      </c>
      <c r="L1910">
        <v>30</v>
      </c>
      <c r="M1910">
        <v>0</v>
      </c>
      <c r="N1910">
        <v>0</v>
      </c>
      <c r="O1910">
        <v>0</v>
      </c>
      <c r="P1910">
        <v>0</v>
      </c>
      <c r="Q1910">
        <v>0</v>
      </c>
      <c r="R1910">
        <v>29</v>
      </c>
      <c r="S1910">
        <v>203</v>
      </c>
      <c r="T1910">
        <v>0</v>
      </c>
      <c r="V1910">
        <v>0</v>
      </c>
      <c r="W1910" t="s">
        <v>2860</v>
      </c>
    </row>
    <row r="1911" spans="1:23" x14ac:dyDescent="0.25">
      <c r="H1911">
        <v>703</v>
      </c>
    </row>
    <row r="1912" spans="1:23" x14ac:dyDescent="0.25">
      <c r="A1912">
        <v>953</v>
      </c>
      <c r="B1912">
        <v>1857</v>
      </c>
      <c r="C1912" t="s">
        <v>2861</v>
      </c>
      <c r="D1912" t="s">
        <v>2666</v>
      </c>
      <c r="E1912" t="s">
        <v>383</v>
      </c>
      <c r="F1912" t="s">
        <v>2862</v>
      </c>
      <c r="G1912" t="str">
        <f>"00144199"</f>
        <v>00144199</v>
      </c>
      <c r="H1912" t="s">
        <v>1212</v>
      </c>
      <c r="I1912">
        <v>0</v>
      </c>
      <c r="J1912">
        <v>30</v>
      </c>
      <c r="K1912">
        <v>0</v>
      </c>
      <c r="L1912">
        <v>0</v>
      </c>
      <c r="M1912">
        <v>0</v>
      </c>
      <c r="N1912">
        <v>0</v>
      </c>
      <c r="O1912">
        <v>0</v>
      </c>
      <c r="P1912">
        <v>0</v>
      </c>
      <c r="Q1912">
        <v>0</v>
      </c>
      <c r="R1912">
        <v>79</v>
      </c>
      <c r="S1912">
        <v>553</v>
      </c>
      <c r="T1912">
        <v>0</v>
      </c>
      <c r="V1912">
        <v>2</v>
      </c>
      <c r="W1912" t="s">
        <v>2863</v>
      </c>
    </row>
    <row r="1913" spans="1:23" x14ac:dyDescent="0.25">
      <c r="H1913">
        <v>703</v>
      </c>
    </row>
    <row r="1914" spans="1:23" x14ac:dyDescent="0.25">
      <c r="A1914">
        <v>954</v>
      </c>
      <c r="B1914">
        <v>926</v>
      </c>
      <c r="C1914" t="s">
        <v>2864</v>
      </c>
      <c r="D1914" t="s">
        <v>67</v>
      </c>
      <c r="E1914" t="s">
        <v>1440</v>
      </c>
      <c r="F1914" t="s">
        <v>2865</v>
      </c>
      <c r="G1914" t="str">
        <f>"00017383"</f>
        <v>00017383</v>
      </c>
      <c r="H1914" t="s">
        <v>1706</v>
      </c>
      <c r="I1914">
        <v>0</v>
      </c>
      <c r="J1914">
        <v>30</v>
      </c>
      <c r="K1914">
        <v>0</v>
      </c>
      <c r="L1914">
        <v>0</v>
      </c>
      <c r="M1914">
        <v>0</v>
      </c>
      <c r="N1914">
        <v>0</v>
      </c>
      <c r="O1914">
        <v>0</v>
      </c>
      <c r="P1914">
        <v>0</v>
      </c>
      <c r="Q1914">
        <v>0</v>
      </c>
      <c r="R1914">
        <v>84</v>
      </c>
      <c r="S1914">
        <v>588</v>
      </c>
      <c r="T1914">
        <v>0</v>
      </c>
      <c r="V1914">
        <v>0</v>
      </c>
      <c r="W1914" t="s">
        <v>2866</v>
      </c>
    </row>
    <row r="1915" spans="1:23" x14ac:dyDescent="0.25">
      <c r="H1915">
        <v>703</v>
      </c>
    </row>
    <row r="1916" spans="1:23" x14ac:dyDescent="0.25">
      <c r="A1916">
        <v>955</v>
      </c>
      <c r="B1916">
        <v>1801</v>
      </c>
      <c r="C1916" t="s">
        <v>2867</v>
      </c>
      <c r="D1916" t="s">
        <v>53</v>
      </c>
      <c r="E1916" t="s">
        <v>433</v>
      </c>
      <c r="F1916" t="s">
        <v>2868</v>
      </c>
      <c r="G1916" t="str">
        <f>"00011429"</f>
        <v>00011429</v>
      </c>
      <c r="H1916" t="s">
        <v>2869</v>
      </c>
      <c r="I1916">
        <v>150</v>
      </c>
      <c r="J1916">
        <v>0</v>
      </c>
      <c r="K1916">
        <v>0</v>
      </c>
      <c r="L1916">
        <v>0</v>
      </c>
      <c r="M1916">
        <v>0</v>
      </c>
      <c r="N1916">
        <v>0</v>
      </c>
      <c r="O1916">
        <v>0</v>
      </c>
      <c r="P1916">
        <v>0</v>
      </c>
      <c r="Q1916">
        <v>0</v>
      </c>
      <c r="R1916">
        <v>84</v>
      </c>
      <c r="S1916">
        <v>588</v>
      </c>
      <c r="T1916">
        <v>0</v>
      </c>
      <c r="V1916">
        <v>0</v>
      </c>
      <c r="W1916" t="s">
        <v>2870</v>
      </c>
    </row>
    <row r="1917" spans="1:23" x14ac:dyDescent="0.25">
      <c r="H1917">
        <v>703</v>
      </c>
    </row>
    <row r="1918" spans="1:23" x14ac:dyDescent="0.25">
      <c r="A1918">
        <v>956</v>
      </c>
      <c r="B1918">
        <v>1615</v>
      </c>
      <c r="C1918" t="s">
        <v>2871</v>
      </c>
      <c r="D1918" t="s">
        <v>28</v>
      </c>
      <c r="E1918" t="s">
        <v>1633</v>
      </c>
      <c r="F1918" t="s">
        <v>2872</v>
      </c>
      <c r="G1918" t="str">
        <f>"201406000809"</f>
        <v>201406000809</v>
      </c>
      <c r="H1918" t="s">
        <v>385</v>
      </c>
      <c r="I1918">
        <v>0</v>
      </c>
      <c r="J1918">
        <v>30</v>
      </c>
      <c r="K1918">
        <v>0</v>
      </c>
      <c r="L1918">
        <v>0</v>
      </c>
      <c r="M1918">
        <v>0</v>
      </c>
      <c r="N1918">
        <v>30</v>
      </c>
      <c r="O1918">
        <v>0</v>
      </c>
      <c r="P1918">
        <v>0</v>
      </c>
      <c r="Q1918">
        <v>0</v>
      </c>
      <c r="R1918">
        <v>46</v>
      </c>
      <c r="S1918">
        <v>322</v>
      </c>
      <c r="T1918">
        <v>0</v>
      </c>
      <c r="V1918">
        <v>0</v>
      </c>
      <c r="W1918" t="s">
        <v>2873</v>
      </c>
    </row>
    <row r="1919" spans="1:23" x14ac:dyDescent="0.25">
      <c r="H1919" t="s">
        <v>70</v>
      </c>
    </row>
    <row r="1920" spans="1:23" x14ac:dyDescent="0.25">
      <c r="A1920">
        <v>957</v>
      </c>
      <c r="B1920">
        <v>659</v>
      </c>
      <c r="C1920" t="s">
        <v>2874</v>
      </c>
      <c r="D1920" t="s">
        <v>2875</v>
      </c>
      <c r="E1920" t="s">
        <v>251</v>
      </c>
      <c r="F1920" t="s">
        <v>2876</v>
      </c>
      <c r="G1920" t="str">
        <f>"201406005030"</f>
        <v>201406005030</v>
      </c>
      <c r="H1920">
        <v>1100</v>
      </c>
      <c r="I1920">
        <v>150</v>
      </c>
      <c r="J1920">
        <v>30</v>
      </c>
      <c r="K1920">
        <v>0</v>
      </c>
      <c r="L1920">
        <v>0</v>
      </c>
      <c r="M1920">
        <v>0</v>
      </c>
      <c r="N1920">
        <v>0</v>
      </c>
      <c r="O1920">
        <v>0</v>
      </c>
      <c r="P1920">
        <v>0</v>
      </c>
      <c r="Q1920">
        <v>0</v>
      </c>
      <c r="R1920">
        <v>17</v>
      </c>
      <c r="S1920">
        <v>119</v>
      </c>
      <c r="T1920">
        <v>0</v>
      </c>
      <c r="V1920">
        <v>0</v>
      </c>
      <c r="W1920">
        <v>1399</v>
      </c>
    </row>
    <row r="1921" spans="1:23" x14ac:dyDescent="0.25">
      <c r="H1921">
        <v>703</v>
      </c>
    </row>
    <row r="1922" spans="1:23" x14ac:dyDescent="0.25">
      <c r="A1922">
        <v>958</v>
      </c>
      <c r="B1922">
        <v>227</v>
      </c>
      <c r="C1922" t="s">
        <v>2877</v>
      </c>
      <c r="D1922" t="s">
        <v>21</v>
      </c>
      <c r="E1922" t="s">
        <v>478</v>
      </c>
      <c r="F1922" t="s">
        <v>2878</v>
      </c>
      <c r="G1922" t="str">
        <f>"201506004175"</f>
        <v>201506004175</v>
      </c>
      <c r="H1922">
        <v>858</v>
      </c>
      <c r="I1922">
        <v>0</v>
      </c>
      <c r="J1922">
        <v>70</v>
      </c>
      <c r="K1922">
        <v>30</v>
      </c>
      <c r="L1922">
        <v>0</v>
      </c>
      <c r="M1922">
        <v>0</v>
      </c>
      <c r="N1922">
        <v>0</v>
      </c>
      <c r="O1922">
        <v>0</v>
      </c>
      <c r="P1922">
        <v>0</v>
      </c>
      <c r="Q1922">
        <v>0</v>
      </c>
      <c r="R1922">
        <v>63</v>
      </c>
      <c r="S1922">
        <v>441</v>
      </c>
      <c r="T1922">
        <v>0</v>
      </c>
      <c r="V1922">
        <v>1</v>
      </c>
      <c r="W1922">
        <v>1399</v>
      </c>
    </row>
    <row r="1923" spans="1:23" x14ac:dyDescent="0.25">
      <c r="H1923">
        <v>703</v>
      </c>
    </row>
    <row r="1924" spans="1:23" x14ac:dyDescent="0.25">
      <c r="A1924">
        <v>959</v>
      </c>
      <c r="B1924">
        <v>1510</v>
      </c>
      <c r="C1924" t="s">
        <v>2879</v>
      </c>
      <c r="D1924" t="s">
        <v>361</v>
      </c>
      <c r="E1924" t="s">
        <v>91</v>
      </c>
      <c r="F1924" t="s">
        <v>2880</v>
      </c>
      <c r="G1924" t="str">
        <f>"00141676"</f>
        <v>00141676</v>
      </c>
      <c r="H1924">
        <v>781</v>
      </c>
      <c r="I1924">
        <v>0</v>
      </c>
      <c r="J1924">
        <v>30</v>
      </c>
      <c r="K1924">
        <v>0</v>
      </c>
      <c r="L1924">
        <v>0</v>
      </c>
      <c r="M1924">
        <v>0</v>
      </c>
      <c r="N1924">
        <v>0</v>
      </c>
      <c r="O1924">
        <v>0</v>
      </c>
      <c r="P1924">
        <v>0</v>
      </c>
      <c r="Q1924">
        <v>0</v>
      </c>
      <c r="R1924">
        <v>84</v>
      </c>
      <c r="S1924">
        <v>588</v>
      </c>
      <c r="T1924">
        <v>0</v>
      </c>
      <c r="V1924">
        <v>0</v>
      </c>
      <c r="W1924">
        <v>1399</v>
      </c>
    </row>
    <row r="1925" spans="1:23" x14ac:dyDescent="0.25">
      <c r="H1925" t="s">
        <v>26</v>
      </c>
    </row>
    <row r="1926" spans="1:23" x14ac:dyDescent="0.25">
      <c r="A1926">
        <v>960</v>
      </c>
      <c r="B1926">
        <v>2753</v>
      </c>
      <c r="C1926" t="s">
        <v>1156</v>
      </c>
      <c r="D1926" t="s">
        <v>285</v>
      </c>
      <c r="E1926" t="s">
        <v>76</v>
      </c>
      <c r="F1926" t="s">
        <v>2881</v>
      </c>
      <c r="G1926" t="str">
        <f>"200811000043"</f>
        <v>200811000043</v>
      </c>
      <c r="H1926">
        <v>693</v>
      </c>
      <c r="I1926">
        <v>150</v>
      </c>
      <c r="J1926">
        <v>50</v>
      </c>
      <c r="K1926">
        <v>0</v>
      </c>
      <c r="L1926">
        <v>30</v>
      </c>
      <c r="M1926">
        <v>0</v>
      </c>
      <c r="N1926">
        <v>0</v>
      </c>
      <c r="O1926">
        <v>0</v>
      </c>
      <c r="P1926">
        <v>0</v>
      </c>
      <c r="Q1926">
        <v>0</v>
      </c>
      <c r="R1926">
        <v>68</v>
      </c>
      <c r="S1926">
        <v>476</v>
      </c>
      <c r="T1926">
        <v>0</v>
      </c>
      <c r="V1926">
        <v>2</v>
      </c>
      <c r="W1926">
        <v>1399</v>
      </c>
    </row>
    <row r="1927" spans="1:23" x14ac:dyDescent="0.25">
      <c r="H1927" t="s">
        <v>26</v>
      </c>
    </row>
    <row r="1928" spans="1:23" x14ac:dyDescent="0.25">
      <c r="A1928">
        <v>961</v>
      </c>
      <c r="B1928">
        <v>1494</v>
      </c>
      <c r="C1928" t="s">
        <v>2882</v>
      </c>
      <c r="D1928" t="s">
        <v>40</v>
      </c>
      <c r="E1928" t="s">
        <v>99</v>
      </c>
      <c r="F1928" t="s">
        <v>2883</v>
      </c>
      <c r="G1928" t="str">
        <f>"201406011629"</f>
        <v>201406011629</v>
      </c>
      <c r="H1928">
        <v>990</v>
      </c>
      <c r="I1928">
        <v>0</v>
      </c>
      <c r="J1928">
        <v>70</v>
      </c>
      <c r="K1928">
        <v>30</v>
      </c>
      <c r="L1928">
        <v>0</v>
      </c>
      <c r="M1928">
        <v>0</v>
      </c>
      <c r="N1928">
        <v>0</v>
      </c>
      <c r="O1928">
        <v>0</v>
      </c>
      <c r="P1928">
        <v>0</v>
      </c>
      <c r="Q1928">
        <v>0</v>
      </c>
      <c r="R1928">
        <v>44</v>
      </c>
      <c r="S1928">
        <v>308</v>
      </c>
      <c r="T1928">
        <v>0</v>
      </c>
      <c r="V1928">
        <v>0</v>
      </c>
      <c r="W1928">
        <v>1398</v>
      </c>
    </row>
    <row r="1929" spans="1:23" x14ac:dyDescent="0.25">
      <c r="H1929" t="s">
        <v>70</v>
      </c>
    </row>
    <row r="1930" spans="1:23" x14ac:dyDescent="0.25">
      <c r="A1930">
        <v>962</v>
      </c>
      <c r="B1930">
        <v>488</v>
      </c>
      <c r="C1930" t="s">
        <v>2884</v>
      </c>
      <c r="D1930" t="s">
        <v>273</v>
      </c>
      <c r="E1930" t="s">
        <v>91</v>
      </c>
      <c r="F1930" t="s">
        <v>2885</v>
      </c>
      <c r="G1930" t="str">
        <f>"201406001167"</f>
        <v>201406001167</v>
      </c>
      <c r="H1930">
        <v>924</v>
      </c>
      <c r="I1930">
        <v>150</v>
      </c>
      <c r="J1930">
        <v>30</v>
      </c>
      <c r="K1930">
        <v>0</v>
      </c>
      <c r="L1930">
        <v>0</v>
      </c>
      <c r="M1930">
        <v>0</v>
      </c>
      <c r="N1930">
        <v>0</v>
      </c>
      <c r="O1930">
        <v>0</v>
      </c>
      <c r="P1930">
        <v>0</v>
      </c>
      <c r="Q1930">
        <v>0</v>
      </c>
      <c r="R1930">
        <v>42</v>
      </c>
      <c r="S1930">
        <v>294</v>
      </c>
      <c r="T1930">
        <v>0</v>
      </c>
      <c r="V1930">
        <v>1</v>
      </c>
      <c r="W1930">
        <v>1398</v>
      </c>
    </row>
    <row r="1931" spans="1:23" x14ac:dyDescent="0.25">
      <c r="H1931" t="s">
        <v>26</v>
      </c>
    </row>
    <row r="1932" spans="1:23" x14ac:dyDescent="0.25">
      <c r="A1932">
        <v>963</v>
      </c>
      <c r="B1932">
        <v>779</v>
      </c>
      <c r="C1932" t="s">
        <v>1607</v>
      </c>
      <c r="D1932" t="s">
        <v>1104</v>
      </c>
      <c r="E1932" t="s">
        <v>53</v>
      </c>
      <c r="F1932" t="s">
        <v>2886</v>
      </c>
      <c r="G1932" t="str">
        <f>"200802001054"</f>
        <v>200802001054</v>
      </c>
      <c r="H1932">
        <v>660</v>
      </c>
      <c r="I1932">
        <v>150</v>
      </c>
      <c r="J1932">
        <v>0</v>
      </c>
      <c r="K1932">
        <v>0</v>
      </c>
      <c r="L1932">
        <v>0</v>
      </c>
      <c r="M1932">
        <v>0</v>
      </c>
      <c r="N1932">
        <v>0</v>
      </c>
      <c r="O1932">
        <v>0</v>
      </c>
      <c r="P1932">
        <v>0</v>
      </c>
      <c r="Q1932">
        <v>0</v>
      </c>
      <c r="R1932">
        <v>84</v>
      </c>
      <c r="S1932">
        <v>588</v>
      </c>
      <c r="T1932">
        <v>0</v>
      </c>
      <c r="V1932">
        <v>3</v>
      </c>
      <c r="W1932">
        <v>1398</v>
      </c>
    </row>
    <row r="1933" spans="1:23" x14ac:dyDescent="0.25">
      <c r="H1933">
        <v>703</v>
      </c>
    </row>
    <row r="1934" spans="1:23" x14ac:dyDescent="0.25">
      <c r="A1934">
        <v>964</v>
      </c>
      <c r="B1934">
        <v>2343</v>
      </c>
      <c r="C1934" t="s">
        <v>2887</v>
      </c>
      <c r="D1934" t="s">
        <v>344</v>
      </c>
      <c r="E1934" t="s">
        <v>356</v>
      </c>
      <c r="F1934" t="s">
        <v>2888</v>
      </c>
      <c r="G1934" t="str">
        <f>"00149417"</f>
        <v>00149417</v>
      </c>
      <c r="H1934" t="s">
        <v>2889</v>
      </c>
      <c r="I1934">
        <v>0</v>
      </c>
      <c r="J1934">
        <v>0</v>
      </c>
      <c r="K1934">
        <v>0</v>
      </c>
      <c r="L1934">
        <v>0</v>
      </c>
      <c r="M1934">
        <v>0</v>
      </c>
      <c r="N1934">
        <v>0</v>
      </c>
      <c r="O1934">
        <v>0</v>
      </c>
      <c r="P1934">
        <v>0</v>
      </c>
      <c r="Q1934">
        <v>0</v>
      </c>
      <c r="R1934">
        <v>84</v>
      </c>
      <c r="S1934">
        <v>588</v>
      </c>
      <c r="T1934">
        <v>0</v>
      </c>
      <c r="V1934">
        <v>0</v>
      </c>
      <c r="W1934" t="s">
        <v>2890</v>
      </c>
    </row>
    <row r="1935" spans="1:23" x14ac:dyDescent="0.25">
      <c r="H1935">
        <v>703</v>
      </c>
    </row>
    <row r="1936" spans="1:23" x14ac:dyDescent="0.25">
      <c r="A1936">
        <v>965</v>
      </c>
      <c r="B1936">
        <v>2275</v>
      </c>
      <c r="C1936" t="s">
        <v>2891</v>
      </c>
      <c r="D1936" t="s">
        <v>105</v>
      </c>
      <c r="E1936" t="s">
        <v>58</v>
      </c>
      <c r="F1936" t="s">
        <v>2892</v>
      </c>
      <c r="G1936" t="str">
        <f>"00228330"</f>
        <v>00228330</v>
      </c>
      <c r="H1936" t="s">
        <v>2889</v>
      </c>
      <c r="I1936">
        <v>0</v>
      </c>
      <c r="J1936">
        <v>0</v>
      </c>
      <c r="K1936">
        <v>0</v>
      </c>
      <c r="L1936">
        <v>0</v>
      </c>
      <c r="M1936">
        <v>0</v>
      </c>
      <c r="N1936">
        <v>0</v>
      </c>
      <c r="O1936">
        <v>0</v>
      </c>
      <c r="P1936">
        <v>0</v>
      </c>
      <c r="Q1936">
        <v>0</v>
      </c>
      <c r="R1936">
        <v>84</v>
      </c>
      <c r="S1936">
        <v>588</v>
      </c>
      <c r="T1936">
        <v>0</v>
      </c>
      <c r="V1936">
        <v>0</v>
      </c>
      <c r="W1936" t="s">
        <v>2890</v>
      </c>
    </row>
    <row r="1937" spans="1:23" x14ac:dyDescent="0.25">
      <c r="H1937">
        <v>703</v>
      </c>
    </row>
    <row r="1938" spans="1:23" x14ac:dyDescent="0.25">
      <c r="A1938">
        <v>966</v>
      </c>
      <c r="B1938">
        <v>2027</v>
      </c>
      <c r="C1938" t="s">
        <v>2893</v>
      </c>
      <c r="D1938" t="s">
        <v>273</v>
      </c>
      <c r="E1938" t="s">
        <v>91</v>
      </c>
      <c r="F1938" t="s">
        <v>2894</v>
      </c>
      <c r="G1938" t="str">
        <f>"00229834"</f>
        <v>00229834</v>
      </c>
      <c r="H1938" t="s">
        <v>2526</v>
      </c>
      <c r="I1938">
        <v>0</v>
      </c>
      <c r="J1938">
        <v>30</v>
      </c>
      <c r="K1938">
        <v>0</v>
      </c>
      <c r="L1938">
        <v>0</v>
      </c>
      <c r="M1938">
        <v>0</v>
      </c>
      <c r="N1938">
        <v>0</v>
      </c>
      <c r="O1938">
        <v>0</v>
      </c>
      <c r="P1938">
        <v>0</v>
      </c>
      <c r="Q1938">
        <v>0</v>
      </c>
      <c r="R1938">
        <v>74</v>
      </c>
      <c r="S1938">
        <v>518</v>
      </c>
      <c r="T1938">
        <v>0</v>
      </c>
      <c r="V1938">
        <v>0</v>
      </c>
      <c r="W1938" t="s">
        <v>2895</v>
      </c>
    </row>
    <row r="1939" spans="1:23" x14ac:dyDescent="0.25">
      <c r="H1939">
        <v>703</v>
      </c>
    </row>
    <row r="1940" spans="1:23" x14ac:dyDescent="0.25">
      <c r="A1940">
        <v>967</v>
      </c>
      <c r="B1940">
        <v>2044</v>
      </c>
      <c r="C1940" t="s">
        <v>2896</v>
      </c>
      <c r="D1940" t="s">
        <v>194</v>
      </c>
      <c r="E1940" t="s">
        <v>53</v>
      </c>
      <c r="F1940" t="s">
        <v>2897</v>
      </c>
      <c r="G1940" t="str">
        <f>"201402007175"</f>
        <v>201402007175</v>
      </c>
      <c r="H1940">
        <v>1056</v>
      </c>
      <c r="I1940">
        <v>150</v>
      </c>
      <c r="J1940">
        <v>30</v>
      </c>
      <c r="K1940">
        <v>0</v>
      </c>
      <c r="L1940">
        <v>0</v>
      </c>
      <c r="M1940">
        <v>0</v>
      </c>
      <c r="N1940">
        <v>0</v>
      </c>
      <c r="O1940">
        <v>0</v>
      </c>
      <c r="P1940">
        <v>0</v>
      </c>
      <c r="Q1940">
        <v>0</v>
      </c>
      <c r="R1940">
        <v>23</v>
      </c>
      <c r="S1940">
        <v>161</v>
      </c>
      <c r="T1940">
        <v>0</v>
      </c>
      <c r="V1940">
        <v>0</v>
      </c>
      <c r="W1940">
        <v>1397</v>
      </c>
    </row>
    <row r="1941" spans="1:23" x14ac:dyDescent="0.25">
      <c r="H1941">
        <v>703</v>
      </c>
    </row>
    <row r="1942" spans="1:23" x14ac:dyDescent="0.25">
      <c r="A1942">
        <v>968</v>
      </c>
      <c r="B1942">
        <v>2035</v>
      </c>
      <c r="C1942" t="s">
        <v>1375</v>
      </c>
      <c r="D1942" t="s">
        <v>15</v>
      </c>
      <c r="E1942" t="s">
        <v>1678</v>
      </c>
      <c r="F1942" t="s">
        <v>2898</v>
      </c>
      <c r="G1942" t="str">
        <f>"201406004691"</f>
        <v>201406004691</v>
      </c>
      <c r="H1942" t="s">
        <v>1827</v>
      </c>
      <c r="I1942">
        <v>0</v>
      </c>
      <c r="J1942">
        <v>0</v>
      </c>
      <c r="K1942">
        <v>0</v>
      </c>
      <c r="L1942">
        <v>0</v>
      </c>
      <c r="M1942">
        <v>0</v>
      </c>
      <c r="N1942">
        <v>0</v>
      </c>
      <c r="O1942">
        <v>0</v>
      </c>
      <c r="P1942">
        <v>0</v>
      </c>
      <c r="Q1942">
        <v>0</v>
      </c>
      <c r="R1942">
        <v>84</v>
      </c>
      <c r="S1942">
        <v>588</v>
      </c>
      <c r="T1942">
        <v>0</v>
      </c>
      <c r="V1942">
        <v>1</v>
      </c>
      <c r="W1942" t="s">
        <v>2899</v>
      </c>
    </row>
    <row r="1943" spans="1:23" x14ac:dyDescent="0.25">
      <c r="H1943" t="s">
        <v>70</v>
      </c>
    </row>
    <row r="1944" spans="1:23" x14ac:dyDescent="0.25">
      <c r="A1944">
        <v>969</v>
      </c>
      <c r="B1944">
        <v>1870</v>
      </c>
      <c r="C1944" t="s">
        <v>2900</v>
      </c>
      <c r="D1944" t="s">
        <v>14</v>
      </c>
      <c r="E1944" t="s">
        <v>207</v>
      </c>
      <c r="F1944" t="s">
        <v>2901</v>
      </c>
      <c r="G1944" t="str">
        <f>"201402006479"</f>
        <v>201402006479</v>
      </c>
      <c r="H1944" t="s">
        <v>909</v>
      </c>
      <c r="I1944">
        <v>0</v>
      </c>
      <c r="J1944">
        <v>30</v>
      </c>
      <c r="K1944">
        <v>0</v>
      </c>
      <c r="L1944">
        <v>0</v>
      </c>
      <c r="M1944">
        <v>0</v>
      </c>
      <c r="N1944">
        <v>0</v>
      </c>
      <c r="O1944">
        <v>0</v>
      </c>
      <c r="P1944">
        <v>0</v>
      </c>
      <c r="Q1944">
        <v>0</v>
      </c>
      <c r="R1944">
        <v>41</v>
      </c>
      <c r="S1944">
        <v>287</v>
      </c>
      <c r="T1944">
        <v>0</v>
      </c>
      <c r="V1944">
        <v>1</v>
      </c>
      <c r="W1944" t="s">
        <v>2902</v>
      </c>
    </row>
    <row r="1945" spans="1:23" x14ac:dyDescent="0.25">
      <c r="H1945">
        <v>703</v>
      </c>
    </row>
    <row r="1946" spans="1:23" x14ac:dyDescent="0.25">
      <c r="A1946">
        <v>970</v>
      </c>
      <c r="B1946">
        <v>2272</v>
      </c>
      <c r="C1946" t="s">
        <v>2903</v>
      </c>
      <c r="D1946" t="s">
        <v>109</v>
      </c>
      <c r="E1946" t="s">
        <v>53</v>
      </c>
      <c r="F1946" t="s">
        <v>2904</v>
      </c>
      <c r="G1946" t="str">
        <f>"201412003595"</f>
        <v>201412003595</v>
      </c>
      <c r="H1946">
        <v>990</v>
      </c>
      <c r="I1946">
        <v>0</v>
      </c>
      <c r="J1946">
        <v>70</v>
      </c>
      <c r="K1946">
        <v>0</v>
      </c>
      <c r="L1946">
        <v>0</v>
      </c>
      <c r="M1946">
        <v>0</v>
      </c>
      <c r="N1946">
        <v>0</v>
      </c>
      <c r="O1946">
        <v>0</v>
      </c>
      <c r="P1946">
        <v>0</v>
      </c>
      <c r="Q1946">
        <v>0</v>
      </c>
      <c r="R1946">
        <v>48</v>
      </c>
      <c r="S1946">
        <v>336</v>
      </c>
      <c r="T1946">
        <v>0</v>
      </c>
      <c r="V1946">
        <v>0</v>
      </c>
      <c r="W1946">
        <v>1396</v>
      </c>
    </row>
    <row r="1947" spans="1:23" x14ac:dyDescent="0.25">
      <c r="H1947">
        <v>703</v>
      </c>
    </row>
    <row r="1948" spans="1:23" x14ac:dyDescent="0.25">
      <c r="A1948">
        <v>971</v>
      </c>
      <c r="B1948">
        <v>2416</v>
      </c>
      <c r="C1948" t="s">
        <v>730</v>
      </c>
      <c r="D1948" t="s">
        <v>67</v>
      </c>
      <c r="E1948" t="s">
        <v>468</v>
      </c>
      <c r="F1948" t="s">
        <v>2905</v>
      </c>
      <c r="G1948" t="str">
        <f>"00135051"</f>
        <v>00135051</v>
      </c>
      <c r="H1948">
        <v>891</v>
      </c>
      <c r="I1948">
        <v>0</v>
      </c>
      <c r="J1948">
        <v>50</v>
      </c>
      <c r="K1948">
        <v>0</v>
      </c>
      <c r="L1948">
        <v>0</v>
      </c>
      <c r="M1948">
        <v>0</v>
      </c>
      <c r="N1948">
        <v>0</v>
      </c>
      <c r="O1948">
        <v>0</v>
      </c>
      <c r="P1948">
        <v>0</v>
      </c>
      <c r="Q1948">
        <v>0</v>
      </c>
      <c r="R1948">
        <v>65</v>
      </c>
      <c r="S1948">
        <v>455</v>
      </c>
      <c r="T1948">
        <v>0</v>
      </c>
      <c r="V1948">
        <v>0</v>
      </c>
      <c r="W1948">
        <v>1396</v>
      </c>
    </row>
    <row r="1949" spans="1:23" x14ac:dyDescent="0.25">
      <c r="H1949" t="s">
        <v>70</v>
      </c>
    </row>
    <row r="1950" spans="1:23" x14ac:dyDescent="0.25">
      <c r="A1950">
        <v>972</v>
      </c>
      <c r="B1950">
        <v>1940</v>
      </c>
      <c r="C1950" t="s">
        <v>2906</v>
      </c>
      <c r="D1950" t="s">
        <v>52</v>
      </c>
      <c r="E1950" t="s">
        <v>62</v>
      </c>
      <c r="F1950" t="s">
        <v>2907</v>
      </c>
      <c r="G1950" t="str">
        <f>"00223276"</f>
        <v>00223276</v>
      </c>
      <c r="H1950">
        <v>627</v>
      </c>
      <c r="I1950">
        <v>150</v>
      </c>
      <c r="J1950">
        <v>30</v>
      </c>
      <c r="K1950">
        <v>0</v>
      </c>
      <c r="L1950">
        <v>0</v>
      </c>
      <c r="M1950">
        <v>0</v>
      </c>
      <c r="N1950">
        <v>0</v>
      </c>
      <c r="O1950">
        <v>0</v>
      </c>
      <c r="P1950">
        <v>0</v>
      </c>
      <c r="Q1950">
        <v>0</v>
      </c>
      <c r="R1950">
        <v>84</v>
      </c>
      <c r="S1950">
        <v>588</v>
      </c>
      <c r="T1950">
        <v>0</v>
      </c>
      <c r="V1950">
        <v>0</v>
      </c>
      <c r="W1950">
        <v>1395</v>
      </c>
    </row>
    <row r="1951" spans="1:23" x14ac:dyDescent="0.25">
      <c r="H1951">
        <v>703</v>
      </c>
    </row>
    <row r="1952" spans="1:23" x14ac:dyDescent="0.25">
      <c r="A1952">
        <v>973</v>
      </c>
      <c r="B1952">
        <v>1587</v>
      </c>
      <c r="C1952" t="s">
        <v>2908</v>
      </c>
      <c r="D1952" t="s">
        <v>2909</v>
      </c>
      <c r="E1952" t="s">
        <v>53</v>
      </c>
      <c r="F1952" t="s">
        <v>2910</v>
      </c>
      <c r="G1952" t="str">
        <f>"201511004626"</f>
        <v>201511004626</v>
      </c>
      <c r="H1952" t="s">
        <v>2911</v>
      </c>
      <c r="I1952">
        <v>0</v>
      </c>
      <c r="J1952">
        <v>30</v>
      </c>
      <c r="K1952">
        <v>0</v>
      </c>
      <c r="L1952">
        <v>0</v>
      </c>
      <c r="M1952">
        <v>0</v>
      </c>
      <c r="N1952">
        <v>0</v>
      </c>
      <c r="O1952">
        <v>0</v>
      </c>
      <c r="P1952">
        <v>0</v>
      </c>
      <c r="Q1952">
        <v>0</v>
      </c>
      <c r="R1952">
        <v>84</v>
      </c>
      <c r="S1952">
        <v>588</v>
      </c>
      <c r="T1952">
        <v>0</v>
      </c>
      <c r="V1952">
        <v>3</v>
      </c>
      <c r="W1952" t="s">
        <v>2912</v>
      </c>
    </row>
    <row r="1953" spans="1:23" x14ac:dyDescent="0.25">
      <c r="H1953">
        <v>703</v>
      </c>
    </row>
    <row r="1954" spans="1:23" x14ac:dyDescent="0.25">
      <c r="A1954">
        <v>974</v>
      </c>
      <c r="B1954">
        <v>763</v>
      </c>
      <c r="C1954" t="s">
        <v>2913</v>
      </c>
      <c r="D1954" t="s">
        <v>41</v>
      </c>
      <c r="E1954" t="s">
        <v>15</v>
      </c>
      <c r="F1954" t="s">
        <v>2914</v>
      </c>
      <c r="G1954" t="str">
        <f>"201410008793"</f>
        <v>201410008793</v>
      </c>
      <c r="H1954" t="s">
        <v>2833</v>
      </c>
      <c r="I1954">
        <v>0</v>
      </c>
      <c r="J1954">
        <v>0</v>
      </c>
      <c r="K1954">
        <v>0</v>
      </c>
      <c r="L1954">
        <v>0</v>
      </c>
      <c r="M1954">
        <v>0</v>
      </c>
      <c r="N1954">
        <v>0</v>
      </c>
      <c r="O1954">
        <v>0</v>
      </c>
      <c r="P1954">
        <v>0</v>
      </c>
      <c r="Q1954">
        <v>0</v>
      </c>
      <c r="R1954">
        <v>84</v>
      </c>
      <c r="S1954">
        <v>588</v>
      </c>
      <c r="T1954">
        <v>0</v>
      </c>
      <c r="V1954">
        <v>0</v>
      </c>
      <c r="W1954" t="s">
        <v>2915</v>
      </c>
    </row>
    <row r="1955" spans="1:23" x14ac:dyDescent="0.25">
      <c r="H1955">
        <v>703</v>
      </c>
    </row>
    <row r="1956" spans="1:23" x14ac:dyDescent="0.25">
      <c r="A1956">
        <v>975</v>
      </c>
      <c r="B1956">
        <v>667</v>
      </c>
      <c r="C1956" t="s">
        <v>1313</v>
      </c>
      <c r="D1956" t="s">
        <v>722</v>
      </c>
      <c r="E1956" t="s">
        <v>91</v>
      </c>
      <c r="F1956" t="s">
        <v>2916</v>
      </c>
      <c r="G1956" t="str">
        <f>"201402002293"</f>
        <v>201402002293</v>
      </c>
      <c r="H1956">
        <v>1100</v>
      </c>
      <c r="I1956">
        <v>0</v>
      </c>
      <c r="J1956">
        <v>70</v>
      </c>
      <c r="K1956">
        <v>0</v>
      </c>
      <c r="L1956">
        <v>0</v>
      </c>
      <c r="M1956">
        <v>0</v>
      </c>
      <c r="N1956">
        <v>0</v>
      </c>
      <c r="O1956">
        <v>0</v>
      </c>
      <c r="P1956">
        <v>0</v>
      </c>
      <c r="Q1956">
        <v>0</v>
      </c>
      <c r="R1956">
        <v>32</v>
      </c>
      <c r="S1956">
        <v>224</v>
      </c>
      <c r="T1956">
        <v>0</v>
      </c>
      <c r="V1956">
        <v>0</v>
      </c>
      <c r="W1956">
        <v>1394</v>
      </c>
    </row>
    <row r="1957" spans="1:23" x14ac:dyDescent="0.25">
      <c r="H1957">
        <v>703</v>
      </c>
    </row>
    <row r="1958" spans="1:23" x14ac:dyDescent="0.25">
      <c r="A1958">
        <v>976</v>
      </c>
      <c r="B1958">
        <v>600</v>
      </c>
      <c r="C1958" t="s">
        <v>2917</v>
      </c>
      <c r="D1958" t="s">
        <v>2918</v>
      </c>
      <c r="E1958" t="s">
        <v>2919</v>
      </c>
      <c r="F1958" t="s">
        <v>2920</v>
      </c>
      <c r="G1958" t="str">
        <f>"200802003865"</f>
        <v>200802003865</v>
      </c>
      <c r="H1958" t="s">
        <v>101</v>
      </c>
      <c r="I1958">
        <v>0</v>
      </c>
      <c r="J1958">
        <v>70</v>
      </c>
      <c r="K1958">
        <v>30</v>
      </c>
      <c r="L1958">
        <v>0</v>
      </c>
      <c r="M1958">
        <v>0</v>
      </c>
      <c r="N1958">
        <v>0</v>
      </c>
      <c r="O1958">
        <v>0</v>
      </c>
      <c r="P1958">
        <v>0</v>
      </c>
      <c r="Q1958">
        <v>0</v>
      </c>
      <c r="R1958">
        <v>33</v>
      </c>
      <c r="S1958">
        <v>231</v>
      </c>
      <c r="T1958">
        <v>0</v>
      </c>
      <c r="V1958">
        <v>0</v>
      </c>
      <c r="W1958" t="s">
        <v>2921</v>
      </c>
    </row>
    <row r="1959" spans="1:23" x14ac:dyDescent="0.25">
      <c r="H1959" t="s">
        <v>70</v>
      </c>
    </row>
    <row r="1960" spans="1:23" x14ac:dyDescent="0.25">
      <c r="A1960">
        <v>977</v>
      </c>
      <c r="B1960">
        <v>805</v>
      </c>
      <c r="C1960" t="s">
        <v>1676</v>
      </c>
      <c r="D1960" t="s">
        <v>223</v>
      </c>
      <c r="E1960" t="s">
        <v>105</v>
      </c>
      <c r="F1960" t="s">
        <v>2922</v>
      </c>
      <c r="G1960" t="str">
        <f>"00150370"</f>
        <v>00150370</v>
      </c>
      <c r="H1960" t="s">
        <v>2811</v>
      </c>
      <c r="I1960">
        <v>0</v>
      </c>
      <c r="J1960">
        <v>30</v>
      </c>
      <c r="K1960">
        <v>0</v>
      </c>
      <c r="L1960">
        <v>0</v>
      </c>
      <c r="M1960">
        <v>0</v>
      </c>
      <c r="N1960">
        <v>0</v>
      </c>
      <c r="O1960">
        <v>0</v>
      </c>
      <c r="P1960">
        <v>0</v>
      </c>
      <c r="Q1960">
        <v>0</v>
      </c>
      <c r="R1960">
        <v>84</v>
      </c>
      <c r="S1960">
        <v>588</v>
      </c>
      <c r="T1960">
        <v>0</v>
      </c>
      <c r="V1960">
        <v>0</v>
      </c>
      <c r="W1960" t="s">
        <v>2923</v>
      </c>
    </row>
    <row r="1961" spans="1:23" x14ac:dyDescent="0.25">
      <c r="H1961">
        <v>703</v>
      </c>
    </row>
    <row r="1962" spans="1:23" x14ac:dyDescent="0.25">
      <c r="A1962">
        <v>978</v>
      </c>
      <c r="B1962">
        <v>1877</v>
      </c>
      <c r="C1962" t="s">
        <v>2924</v>
      </c>
      <c r="D1962" t="s">
        <v>597</v>
      </c>
      <c r="E1962" t="s">
        <v>752</v>
      </c>
      <c r="F1962" t="s">
        <v>2925</v>
      </c>
      <c r="G1962" t="str">
        <f>"201511020419"</f>
        <v>201511020419</v>
      </c>
      <c r="H1962" t="s">
        <v>2926</v>
      </c>
      <c r="I1962">
        <v>150</v>
      </c>
      <c r="J1962">
        <v>70</v>
      </c>
      <c r="K1962">
        <v>0</v>
      </c>
      <c r="L1962">
        <v>0</v>
      </c>
      <c r="M1962">
        <v>0</v>
      </c>
      <c r="N1962">
        <v>0</v>
      </c>
      <c r="O1962">
        <v>0</v>
      </c>
      <c r="P1962">
        <v>0</v>
      </c>
      <c r="Q1962">
        <v>0</v>
      </c>
      <c r="R1962">
        <v>61</v>
      </c>
      <c r="S1962">
        <v>427</v>
      </c>
      <c r="T1962">
        <v>0</v>
      </c>
      <c r="V1962">
        <v>1</v>
      </c>
      <c r="W1962" t="s">
        <v>2927</v>
      </c>
    </row>
    <row r="1963" spans="1:23" x14ac:dyDescent="0.25">
      <c r="H1963">
        <v>703</v>
      </c>
    </row>
    <row r="1964" spans="1:23" x14ac:dyDescent="0.25">
      <c r="A1964">
        <v>979</v>
      </c>
      <c r="B1964">
        <v>1582</v>
      </c>
      <c r="C1964" t="s">
        <v>2928</v>
      </c>
      <c r="D1964" t="s">
        <v>2929</v>
      </c>
      <c r="E1964" t="s">
        <v>21</v>
      </c>
      <c r="F1964" t="s">
        <v>2930</v>
      </c>
      <c r="G1964" t="str">
        <f>"00228131"</f>
        <v>00228131</v>
      </c>
      <c r="H1964">
        <v>803</v>
      </c>
      <c r="I1964">
        <v>0</v>
      </c>
      <c r="J1964">
        <v>0</v>
      </c>
      <c r="K1964">
        <v>0</v>
      </c>
      <c r="L1964">
        <v>0</v>
      </c>
      <c r="M1964">
        <v>0</v>
      </c>
      <c r="N1964">
        <v>0</v>
      </c>
      <c r="O1964">
        <v>0</v>
      </c>
      <c r="P1964">
        <v>0</v>
      </c>
      <c r="Q1964">
        <v>0</v>
      </c>
      <c r="R1964">
        <v>84</v>
      </c>
      <c r="S1964">
        <v>588</v>
      </c>
      <c r="T1964">
        <v>0</v>
      </c>
      <c r="V1964">
        <v>0</v>
      </c>
      <c r="W1964">
        <v>1391</v>
      </c>
    </row>
    <row r="1965" spans="1:23" x14ac:dyDescent="0.25">
      <c r="H1965">
        <v>703</v>
      </c>
    </row>
    <row r="1966" spans="1:23" x14ac:dyDescent="0.25">
      <c r="A1966">
        <v>980</v>
      </c>
      <c r="B1966">
        <v>1302</v>
      </c>
      <c r="C1966" t="s">
        <v>2931</v>
      </c>
      <c r="D1966" t="s">
        <v>2932</v>
      </c>
      <c r="E1966" t="s">
        <v>2933</v>
      </c>
      <c r="F1966" t="s">
        <v>2934</v>
      </c>
      <c r="G1966" t="str">
        <f>"201511043586"</f>
        <v>201511043586</v>
      </c>
      <c r="H1966">
        <v>803</v>
      </c>
      <c r="I1966">
        <v>0</v>
      </c>
      <c r="J1966">
        <v>0</v>
      </c>
      <c r="K1966">
        <v>0</v>
      </c>
      <c r="L1966">
        <v>0</v>
      </c>
      <c r="M1966">
        <v>0</v>
      </c>
      <c r="N1966">
        <v>0</v>
      </c>
      <c r="O1966">
        <v>0</v>
      </c>
      <c r="P1966">
        <v>0</v>
      </c>
      <c r="Q1966">
        <v>0</v>
      </c>
      <c r="R1966">
        <v>84</v>
      </c>
      <c r="S1966">
        <v>588</v>
      </c>
      <c r="T1966">
        <v>0</v>
      </c>
      <c r="V1966">
        <v>1</v>
      </c>
      <c r="W1966">
        <v>1391</v>
      </c>
    </row>
    <row r="1967" spans="1:23" x14ac:dyDescent="0.25">
      <c r="H1967">
        <v>703</v>
      </c>
    </row>
    <row r="1968" spans="1:23" x14ac:dyDescent="0.25">
      <c r="A1968">
        <v>981</v>
      </c>
      <c r="B1968">
        <v>785</v>
      </c>
      <c r="C1968" t="s">
        <v>2935</v>
      </c>
      <c r="D1968" t="s">
        <v>134</v>
      </c>
      <c r="E1968" t="s">
        <v>41</v>
      </c>
      <c r="F1968" t="s">
        <v>2936</v>
      </c>
      <c r="G1968" t="str">
        <f>"201412006252"</f>
        <v>201412006252</v>
      </c>
      <c r="H1968" t="s">
        <v>2937</v>
      </c>
      <c r="I1968">
        <v>150</v>
      </c>
      <c r="J1968">
        <v>0</v>
      </c>
      <c r="K1968">
        <v>0</v>
      </c>
      <c r="L1968">
        <v>0</v>
      </c>
      <c r="M1968">
        <v>0</v>
      </c>
      <c r="N1968">
        <v>0</v>
      </c>
      <c r="O1968">
        <v>0</v>
      </c>
      <c r="P1968">
        <v>0</v>
      </c>
      <c r="Q1968">
        <v>0</v>
      </c>
      <c r="R1968">
        <v>79</v>
      </c>
      <c r="S1968">
        <v>553</v>
      </c>
      <c r="T1968">
        <v>0</v>
      </c>
      <c r="V1968">
        <v>0</v>
      </c>
      <c r="W1968" t="s">
        <v>2938</v>
      </c>
    </row>
    <row r="1969" spans="1:23" x14ac:dyDescent="0.25">
      <c r="H1969">
        <v>703</v>
      </c>
    </row>
    <row r="1970" spans="1:23" x14ac:dyDescent="0.25">
      <c r="A1970">
        <v>982</v>
      </c>
      <c r="B1970">
        <v>420</v>
      </c>
      <c r="C1970" t="s">
        <v>1676</v>
      </c>
      <c r="D1970" t="s">
        <v>527</v>
      </c>
      <c r="E1970" t="s">
        <v>478</v>
      </c>
      <c r="F1970" t="s">
        <v>2939</v>
      </c>
      <c r="G1970" t="str">
        <f>"00226424"</f>
        <v>00226424</v>
      </c>
      <c r="H1970" t="s">
        <v>836</v>
      </c>
      <c r="I1970">
        <v>0</v>
      </c>
      <c r="J1970">
        <v>70</v>
      </c>
      <c r="K1970">
        <v>0</v>
      </c>
      <c r="L1970">
        <v>0</v>
      </c>
      <c r="M1970">
        <v>0</v>
      </c>
      <c r="N1970">
        <v>0</v>
      </c>
      <c r="O1970">
        <v>0</v>
      </c>
      <c r="P1970">
        <v>0</v>
      </c>
      <c r="Q1970">
        <v>0</v>
      </c>
      <c r="R1970">
        <v>50</v>
      </c>
      <c r="S1970">
        <v>350</v>
      </c>
      <c r="T1970">
        <v>0</v>
      </c>
      <c r="V1970">
        <v>0</v>
      </c>
      <c r="W1970" t="s">
        <v>2940</v>
      </c>
    </row>
    <row r="1971" spans="1:23" x14ac:dyDescent="0.25">
      <c r="H1971">
        <v>703</v>
      </c>
    </row>
    <row r="1972" spans="1:23" x14ac:dyDescent="0.25">
      <c r="A1972">
        <v>983</v>
      </c>
      <c r="B1972">
        <v>712</v>
      </c>
      <c r="C1972" t="s">
        <v>2941</v>
      </c>
      <c r="D1972" t="s">
        <v>279</v>
      </c>
      <c r="E1972" t="s">
        <v>15</v>
      </c>
      <c r="F1972" t="s">
        <v>2942</v>
      </c>
      <c r="G1972" t="str">
        <f>"00226338"</f>
        <v>00226338</v>
      </c>
      <c r="H1972" t="s">
        <v>2943</v>
      </c>
      <c r="I1972">
        <v>0</v>
      </c>
      <c r="J1972">
        <v>0</v>
      </c>
      <c r="K1972">
        <v>0</v>
      </c>
      <c r="L1972">
        <v>0</v>
      </c>
      <c r="M1972">
        <v>0</v>
      </c>
      <c r="N1972">
        <v>0</v>
      </c>
      <c r="O1972">
        <v>0</v>
      </c>
      <c r="P1972">
        <v>0</v>
      </c>
      <c r="Q1972">
        <v>0</v>
      </c>
      <c r="R1972">
        <v>84</v>
      </c>
      <c r="S1972">
        <v>588</v>
      </c>
      <c r="T1972">
        <v>0</v>
      </c>
      <c r="V1972">
        <v>0</v>
      </c>
      <c r="W1972" t="s">
        <v>2944</v>
      </c>
    </row>
    <row r="1973" spans="1:23" x14ac:dyDescent="0.25">
      <c r="H1973">
        <v>703</v>
      </c>
    </row>
    <row r="1974" spans="1:23" x14ac:dyDescent="0.25">
      <c r="A1974">
        <v>984</v>
      </c>
      <c r="B1974">
        <v>962</v>
      </c>
      <c r="C1974" t="s">
        <v>2945</v>
      </c>
      <c r="D1974" t="s">
        <v>226</v>
      </c>
      <c r="E1974" t="s">
        <v>2946</v>
      </c>
      <c r="F1974" t="s">
        <v>2947</v>
      </c>
      <c r="G1974" t="str">
        <f>"201406002651"</f>
        <v>201406002651</v>
      </c>
      <c r="H1974" t="s">
        <v>202</v>
      </c>
      <c r="I1974">
        <v>150</v>
      </c>
      <c r="J1974">
        <v>30</v>
      </c>
      <c r="K1974">
        <v>0</v>
      </c>
      <c r="L1974">
        <v>0</v>
      </c>
      <c r="M1974">
        <v>0</v>
      </c>
      <c r="N1974">
        <v>0</v>
      </c>
      <c r="O1974">
        <v>0</v>
      </c>
      <c r="P1974">
        <v>0</v>
      </c>
      <c r="Q1974">
        <v>0</v>
      </c>
      <c r="R1974">
        <v>32</v>
      </c>
      <c r="S1974">
        <v>224</v>
      </c>
      <c r="T1974">
        <v>0</v>
      </c>
      <c r="V1974">
        <v>0</v>
      </c>
      <c r="W1974" t="s">
        <v>2948</v>
      </c>
    </row>
    <row r="1975" spans="1:23" x14ac:dyDescent="0.25">
      <c r="H1975" t="s">
        <v>26</v>
      </c>
    </row>
    <row r="1976" spans="1:23" x14ac:dyDescent="0.25">
      <c r="A1976">
        <v>985</v>
      </c>
      <c r="B1976">
        <v>2463</v>
      </c>
      <c r="C1976" t="s">
        <v>146</v>
      </c>
      <c r="D1976" t="s">
        <v>219</v>
      </c>
      <c r="E1976" t="s">
        <v>53</v>
      </c>
      <c r="F1976" t="s">
        <v>2949</v>
      </c>
      <c r="G1976" t="str">
        <f>"00039500"</f>
        <v>00039500</v>
      </c>
      <c r="H1976" t="s">
        <v>833</v>
      </c>
      <c r="I1976">
        <v>0</v>
      </c>
      <c r="J1976">
        <v>70</v>
      </c>
      <c r="K1976">
        <v>0</v>
      </c>
      <c r="L1976">
        <v>0</v>
      </c>
      <c r="M1976">
        <v>0</v>
      </c>
      <c r="N1976">
        <v>0</v>
      </c>
      <c r="O1976">
        <v>0</v>
      </c>
      <c r="P1976">
        <v>0</v>
      </c>
      <c r="Q1976">
        <v>0</v>
      </c>
      <c r="R1976">
        <v>54</v>
      </c>
      <c r="S1976">
        <v>378</v>
      </c>
      <c r="T1976">
        <v>0</v>
      </c>
      <c r="V1976">
        <v>0</v>
      </c>
      <c r="W1976" t="s">
        <v>2950</v>
      </c>
    </row>
    <row r="1977" spans="1:23" x14ac:dyDescent="0.25">
      <c r="H1977" t="s">
        <v>70</v>
      </c>
    </row>
    <row r="1978" spans="1:23" x14ac:dyDescent="0.25">
      <c r="A1978">
        <v>986</v>
      </c>
      <c r="B1978">
        <v>2301</v>
      </c>
      <c r="C1978" t="s">
        <v>2951</v>
      </c>
      <c r="D1978" t="s">
        <v>2952</v>
      </c>
      <c r="E1978" t="s">
        <v>129</v>
      </c>
      <c r="F1978" t="s">
        <v>2953</v>
      </c>
      <c r="G1978" t="str">
        <f>"200801004776"</f>
        <v>200801004776</v>
      </c>
      <c r="H1978">
        <v>979</v>
      </c>
      <c r="I1978">
        <v>0</v>
      </c>
      <c r="J1978">
        <v>30</v>
      </c>
      <c r="K1978">
        <v>0</v>
      </c>
      <c r="L1978">
        <v>0</v>
      </c>
      <c r="M1978">
        <v>0</v>
      </c>
      <c r="N1978">
        <v>0</v>
      </c>
      <c r="O1978">
        <v>0</v>
      </c>
      <c r="P1978">
        <v>0</v>
      </c>
      <c r="Q1978">
        <v>0</v>
      </c>
      <c r="R1978">
        <v>54</v>
      </c>
      <c r="S1978">
        <v>378</v>
      </c>
      <c r="T1978">
        <v>0</v>
      </c>
      <c r="V1978">
        <v>0</v>
      </c>
      <c r="W1978">
        <v>1387</v>
      </c>
    </row>
    <row r="1979" spans="1:23" x14ac:dyDescent="0.25">
      <c r="H1979">
        <v>703</v>
      </c>
    </row>
    <row r="1980" spans="1:23" x14ac:dyDescent="0.25">
      <c r="A1980">
        <v>987</v>
      </c>
      <c r="B1980">
        <v>1543</v>
      </c>
      <c r="C1980" t="s">
        <v>2954</v>
      </c>
      <c r="D1980" t="s">
        <v>61</v>
      </c>
      <c r="E1980" t="s">
        <v>1147</v>
      </c>
      <c r="F1980" t="s">
        <v>2955</v>
      </c>
      <c r="G1980" t="str">
        <f>"00227001"</f>
        <v>00227001</v>
      </c>
      <c r="H1980" t="s">
        <v>2956</v>
      </c>
      <c r="I1980">
        <v>0</v>
      </c>
      <c r="J1980">
        <v>0</v>
      </c>
      <c r="K1980">
        <v>0</v>
      </c>
      <c r="L1980">
        <v>0</v>
      </c>
      <c r="M1980">
        <v>0</v>
      </c>
      <c r="N1980">
        <v>0</v>
      </c>
      <c r="O1980">
        <v>0</v>
      </c>
      <c r="P1980">
        <v>0</v>
      </c>
      <c r="Q1980">
        <v>0</v>
      </c>
      <c r="R1980">
        <v>84</v>
      </c>
      <c r="S1980">
        <v>588</v>
      </c>
      <c r="T1980">
        <v>0</v>
      </c>
      <c r="V1980">
        <v>0</v>
      </c>
      <c r="W1980" t="s">
        <v>2957</v>
      </c>
    </row>
    <row r="1981" spans="1:23" x14ac:dyDescent="0.25">
      <c r="H1981">
        <v>703</v>
      </c>
    </row>
    <row r="1982" spans="1:23" x14ac:dyDescent="0.25">
      <c r="A1982">
        <v>988</v>
      </c>
      <c r="B1982">
        <v>1068</v>
      </c>
      <c r="C1982" t="s">
        <v>200</v>
      </c>
      <c r="D1982" t="s">
        <v>2336</v>
      </c>
      <c r="E1982" t="s">
        <v>15</v>
      </c>
      <c r="F1982" t="s">
        <v>2958</v>
      </c>
      <c r="G1982" t="str">
        <f>"201512000799"</f>
        <v>201512000799</v>
      </c>
      <c r="H1982" t="s">
        <v>237</v>
      </c>
      <c r="I1982">
        <v>0</v>
      </c>
      <c r="J1982">
        <v>70</v>
      </c>
      <c r="K1982">
        <v>0</v>
      </c>
      <c r="L1982">
        <v>0</v>
      </c>
      <c r="M1982">
        <v>30</v>
      </c>
      <c r="N1982">
        <v>0</v>
      </c>
      <c r="O1982">
        <v>0</v>
      </c>
      <c r="P1982">
        <v>0</v>
      </c>
      <c r="Q1982">
        <v>0</v>
      </c>
      <c r="R1982">
        <v>40</v>
      </c>
      <c r="S1982">
        <v>280</v>
      </c>
      <c r="T1982">
        <v>0</v>
      </c>
      <c r="V1982">
        <v>0</v>
      </c>
      <c r="W1982" t="s">
        <v>2959</v>
      </c>
    </row>
    <row r="1983" spans="1:23" x14ac:dyDescent="0.25">
      <c r="H1983" t="s">
        <v>70</v>
      </c>
    </row>
    <row r="1984" spans="1:23" x14ac:dyDescent="0.25">
      <c r="A1984">
        <v>989</v>
      </c>
      <c r="B1984">
        <v>1015</v>
      </c>
      <c r="C1984" t="s">
        <v>2960</v>
      </c>
      <c r="D1984" t="s">
        <v>28</v>
      </c>
      <c r="E1984" t="s">
        <v>752</v>
      </c>
      <c r="F1984" t="s">
        <v>2961</v>
      </c>
      <c r="G1984" t="str">
        <f>"200806000575"</f>
        <v>200806000575</v>
      </c>
      <c r="H1984" t="s">
        <v>2962</v>
      </c>
      <c r="I1984">
        <v>150</v>
      </c>
      <c r="J1984">
        <v>30</v>
      </c>
      <c r="K1984">
        <v>0</v>
      </c>
      <c r="L1984">
        <v>0</v>
      </c>
      <c r="M1984">
        <v>0</v>
      </c>
      <c r="N1984">
        <v>0</v>
      </c>
      <c r="O1984">
        <v>0</v>
      </c>
      <c r="P1984">
        <v>0</v>
      </c>
      <c r="Q1984">
        <v>0</v>
      </c>
      <c r="R1984">
        <v>76</v>
      </c>
      <c r="S1984">
        <v>532</v>
      </c>
      <c r="T1984">
        <v>0</v>
      </c>
      <c r="V1984">
        <v>2</v>
      </c>
      <c r="W1984" t="s">
        <v>2963</v>
      </c>
    </row>
    <row r="1985" spans="1:23" x14ac:dyDescent="0.25">
      <c r="H1985">
        <v>703</v>
      </c>
    </row>
    <row r="1986" spans="1:23" x14ac:dyDescent="0.25">
      <c r="A1986">
        <v>990</v>
      </c>
      <c r="B1986">
        <v>1571</v>
      </c>
      <c r="C1986" t="s">
        <v>1727</v>
      </c>
      <c r="D1986" t="s">
        <v>2336</v>
      </c>
      <c r="E1986" t="s">
        <v>79</v>
      </c>
      <c r="F1986" t="s">
        <v>2964</v>
      </c>
      <c r="G1986" t="str">
        <f>"201412004969"</f>
        <v>201412004969</v>
      </c>
      <c r="H1986">
        <v>814</v>
      </c>
      <c r="I1986">
        <v>150</v>
      </c>
      <c r="J1986">
        <v>30</v>
      </c>
      <c r="K1986">
        <v>0</v>
      </c>
      <c r="L1986">
        <v>0</v>
      </c>
      <c r="M1986">
        <v>0</v>
      </c>
      <c r="N1986">
        <v>0</v>
      </c>
      <c r="O1986">
        <v>0</v>
      </c>
      <c r="P1986">
        <v>0</v>
      </c>
      <c r="Q1986">
        <v>0</v>
      </c>
      <c r="R1986">
        <v>56</v>
      </c>
      <c r="S1986">
        <v>392</v>
      </c>
      <c r="T1986">
        <v>0</v>
      </c>
      <c r="V1986">
        <v>2</v>
      </c>
      <c r="W1986">
        <v>1386</v>
      </c>
    </row>
    <row r="1987" spans="1:23" x14ac:dyDescent="0.25">
      <c r="H1987">
        <v>703</v>
      </c>
    </row>
    <row r="1988" spans="1:23" x14ac:dyDescent="0.25">
      <c r="A1988">
        <v>991</v>
      </c>
      <c r="B1988">
        <v>1003</v>
      </c>
      <c r="C1988" t="s">
        <v>2395</v>
      </c>
      <c r="D1988" t="s">
        <v>194</v>
      </c>
      <c r="E1988" t="s">
        <v>53</v>
      </c>
      <c r="F1988" t="s">
        <v>2965</v>
      </c>
      <c r="G1988" t="str">
        <f>"200811000322"</f>
        <v>200811000322</v>
      </c>
      <c r="H1988" t="s">
        <v>217</v>
      </c>
      <c r="I1988">
        <v>0</v>
      </c>
      <c r="J1988">
        <v>70</v>
      </c>
      <c r="K1988">
        <v>0</v>
      </c>
      <c r="L1988">
        <v>0</v>
      </c>
      <c r="M1988">
        <v>0</v>
      </c>
      <c r="N1988">
        <v>0</v>
      </c>
      <c r="O1988">
        <v>0</v>
      </c>
      <c r="P1988">
        <v>0</v>
      </c>
      <c r="Q1988">
        <v>0</v>
      </c>
      <c r="R1988">
        <v>52</v>
      </c>
      <c r="S1988">
        <v>364</v>
      </c>
      <c r="T1988">
        <v>0</v>
      </c>
      <c r="V1988">
        <v>1</v>
      </c>
      <c r="W1988" t="s">
        <v>2966</v>
      </c>
    </row>
    <row r="1989" spans="1:23" x14ac:dyDescent="0.25">
      <c r="H1989">
        <v>703</v>
      </c>
    </row>
    <row r="1990" spans="1:23" x14ac:dyDescent="0.25">
      <c r="A1990">
        <v>992</v>
      </c>
      <c r="B1990">
        <v>853</v>
      </c>
      <c r="C1990" t="s">
        <v>2967</v>
      </c>
      <c r="D1990" t="s">
        <v>185</v>
      </c>
      <c r="E1990" t="s">
        <v>113</v>
      </c>
      <c r="F1990" t="s">
        <v>2968</v>
      </c>
      <c r="G1990" t="str">
        <f>"00224917"</f>
        <v>00224917</v>
      </c>
      <c r="H1990" t="s">
        <v>1514</v>
      </c>
      <c r="I1990">
        <v>0</v>
      </c>
      <c r="J1990">
        <v>30</v>
      </c>
      <c r="K1990">
        <v>0</v>
      </c>
      <c r="L1990">
        <v>0</v>
      </c>
      <c r="M1990">
        <v>0</v>
      </c>
      <c r="N1990">
        <v>0</v>
      </c>
      <c r="O1990">
        <v>0</v>
      </c>
      <c r="P1990">
        <v>0</v>
      </c>
      <c r="Q1990">
        <v>0</v>
      </c>
      <c r="R1990">
        <v>75</v>
      </c>
      <c r="S1990">
        <v>525</v>
      </c>
      <c r="T1990">
        <v>0</v>
      </c>
      <c r="V1990">
        <v>0</v>
      </c>
      <c r="W1990" t="s">
        <v>2966</v>
      </c>
    </row>
    <row r="1991" spans="1:23" x14ac:dyDescent="0.25">
      <c r="H1991">
        <v>703</v>
      </c>
    </row>
    <row r="1992" spans="1:23" x14ac:dyDescent="0.25">
      <c r="A1992">
        <v>993</v>
      </c>
      <c r="B1992">
        <v>177</v>
      </c>
      <c r="C1992" t="s">
        <v>2969</v>
      </c>
      <c r="D1992" t="s">
        <v>912</v>
      </c>
      <c r="E1992" t="s">
        <v>41</v>
      </c>
      <c r="F1992" t="s">
        <v>2970</v>
      </c>
      <c r="G1992" t="str">
        <f>"200801003749"</f>
        <v>200801003749</v>
      </c>
      <c r="H1992" t="s">
        <v>2374</v>
      </c>
      <c r="I1992">
        <v>0</v>
      </c>
      <c r="J1992">
        <v>0</v>
      </c>
      <c r="K1992">
        <v>0</v>
      </c>
      <c r="L1992">
        <v>0</v>
      </c>
      <c r="M1992">
        <v>0</v>
      </c>
      <c r="N1992">
        <v>0</v>
      </c>
      <c r="O1992">
        <v>0</v>
      </c>
      <c r="P1992">
        <v>0</v>
      </c>
      <c r="Q1992">
        <v>0</v>
      </c>
      <c r="R1992">
        <v>84</v>
      </c>
      <c r="S1992">
        <v>588</v>
      </c>
      <c r="T1992">
        <v>0</v>
      </c>
      <c r="V1992">
        <v>0</v>
      </c>
      <c r="W1992" t="s">
        <v>2966</v>
      </c>
    </row>
    <row r="1993" spans="1:23" x14ac:dyDescent="0.25">
      <c r="H1993">
        <v>703</v>
      </c>
    </row>
    <row r="1994" spans="1:23" x14ac:dyDescent="0.25">
      <c r="A1994">
        <v>994</v>
      </c>
      <c r="B1994">
        <v>1819</v>
      </c>
      <c r="C1994" t="s">
        <v>2971</v>
      </c>
      <c r="D1994" t="s">
        <v>2972</v>
      </c>
      <c r="E1994" t="s">
        <v>109</v>
      </c>
      <c r="F1994" t="s">
        <v>2973</v>
      </c>
      <c r="G1994" t="str">
        <f>"00011604"</f>
        <v>00011604</v>
      </c>
      <c r="H1994" t="s">
        <v>2974</v>
      </c>
      <c r="I1994">
        <v>0</v>
      </c>
      <c r="J1994">
        <v>70</v>
      </c>
      <c r="K1994">
        <v>0</v>
      </c>
      <c r="L1994">
        <v>0</v>
      </c>
      <c r="M1994">
        <v>0</v>
      </c>
      <c r="N1994">
        <v>0</v>
      </c>
      <c r="O1994">
        <v>0</v>
      </c>
      <c r="P1994">
        <v>0</v>
      </c>
      <c r="Q1994">
        <v>0</v>
      </c>
      <c r="R1994">
        <v>84</v>
      </c>
      <c r="S1994">
        <v>588</v>
      </c>
      <c r="T1994">
        <v>0</v>
      </c>
      <c r="V1994">
        <v>0</v>
      </c>
      <c r="W1994" t="s">
        <v>2975</v>
      </c>
    </row>
    <row r="1995" spans="1:23" x14ac:dyDescent="0.25">
      <c r="H1995">
        <v>703</v>
      </c>
    </row>
    <row r="1996" spans="1:23" x14ac:dyDescent="0.25">
      <c r="A1996">
        <v>995</v>
      </c>
      <c r="B1996">
        <v>1632</v>
      </c>
      <c r="C1996" t="s">
        <v>2976</v>
      </c>
      <c r="D1996" t="s">
        <v>109</v>
      </c>
      <c r="E1996" t="s">
        <v>91</v>
      </c>
      <c r="F1996" t="s">
        <v>2977</v>
      </c>
      <c r="G1996" t="str">
        <f>"201406010904"</f>
        <v>201406010904</v>
      </c>
      <c r="H1996" t="s">
        <v>270</v>
      </c>
      <c r="I1996">
        <v>0</v>
      </c>
      <c r="J1996">
        <v>30</v>
      </c>
      <c r="K1996">
        <v>0</v>
      </c>
      <c r="L1996">
        <v>0</v>
      </c>
      <c r="M1996">
        <v>0</v>
      </c>
      <c r="N1996">
        <v>0</v>
      </c>
      <c r="O1996">
        <v>0</v>
      </c>
      <c r="P1996">
        <v>0</v>
      </c>
      <c r="Q1996">
        <v>0</v>
      </c>
      <c r="R1996">
        <v>50</v>
      </c>
      <c r="S1996">
        <v>350</v>
      </c>
      <c r="T1996">
        <v>0</v>
      </c>
      <c r="V1996">
        <v>0</v>
      </c>
      <c r="W1996" t="s">
        <v>2978</v>
      </c>
    </row>
    <row r="1997" spans="1:23" x14ac:dyDescent="0.25">
      <c r="H1997">
        <v>703</v>
      </c>
    </row>
    <row r="1998" spans="1:23" x14ac:dyDescent="0.25">
      <c r="A1998">
        <v>996</v>
      </c>
      <c r="B1998">
        <v>963</v>
      </c>
      <c r="C1998" t="s">
        <v>2979</v>
      </c>
      <c r="D1998" t="s">
        <v>273</v>
      </c>
      <c r="E1998" t="s">
        <v>58</v>
      </c>
      <c r="F1998" t="s">
        <v>2980</v>
      </c>
      <c r="G1998" t="str">
        <f>"00108231"</f>
        <v>00108231</v>
      </c>
      <c r="H1998" t="s">
        <v>2981</v>
      </c>
      <c r="I1998">
        <v>150</v>
      </c>
      <c r="J1998">
        <v>30</v>
      </c>
      <c r="K1998">
        <v>0</v>
      </c>
      <c r="L1998">
        <v>0</v>
      </c>
      <c r="M1998">
        <v>0</v>
      </c>
      <c r="N1998">
        <v>0</v>
      </c>
      <c r="O1998">
        <v>0</v>
      </c>
      <c r="P1998">
        <v>0</v>
      </c>
      <c r="Q1998">
        <v>0</v>
      </c>
      <c r="R1998">
        <v>48</v>
      </c>
      <c r="S1998">
        <v>336</v>
      </c>
      <c r="T1998">
        <v>0</v>
      </c>
      <c r="V1998">
        <v>0</v>
      </c>
      <c r="W1998" t="s">
        <v>2982</v>
      </c>
    </row>
    <row r="1999" spans="1:23" x14ac:dyDescent="0.25">
      <c r="H1999">
        <v>703</v>
      </c>
    </row>
    <row r="2000" spans="1:23" x14ac:dyDescent="0.25">
      <c r="A2000">
        <v>997</v>
      </c>
      <c r="B2000">
        <v>424</v>
      </c>
      <c r="C2000" t="s">
        <v>2983</v>
      </c>
      <c r="D2000" t="s">
        <v>2984</v>
      </c>
      <c r="E2000" t="s">
        <v>91</v>
      </c>
      <c r="F2000" t="s">
        <v>2985</v>
      </c>
      <c r="G2000" t="str">
        <f>"00191051"</f>
        <v>00191051</v>
      </c>
      <c r="H2000">
        <v>814</v>
      </c>
      <c r="I2000">
        <v>0</v>
      </c>
      <c r="J2000">
        <v>0</v>
      </c>
      <c r="K2000">
        <v>0</v>
      </c>
      <c r="L2000">
        <v>0</v>
      </c>
      <c r="M2000">
        <v>0</v>
      </c>
      <c r="N2000">
        <v>0</v>
      </c>
      <c r="O2000">
        <v>0</v>
      </c>
      <c r="P2000">
        <v>0</v>
      </c>
      <c r="Q2000">
        <v>0</v>
      </c>
      <c r="R2000">
        <v>81</v>
      </c>
      <c r="S2000">
        <v>567</v>
      </c>
      <c r="T2000">
        <v>0</v>
      </c>
      <c r="V2000">
        <v>0</v>
      </c>
      <c r="W2000">
        <v>1381</v>
      </c>
    </row>
    <row r="2001" spans="1:23" x14ac:dyDescent="0.25">
      <c r="H2001">
        <v>703</v>
      </c>
    </row>
    <row r="2002" spans="1:23" x14ac:dyDescent="0.25">
      <c r="A2002">
        <v>998</v>
      </c>
      <c r="B2002">
        <v>1253</v>
      </c>
      <c r="C2002" t="s">
        <v>2986</v>
      </c>
      <c r="D2002" t="s">
        <v>46</v>
      </c>
      <c r="E2002" t="s">
        <v>129</v>
      </c>
      <c r="F2002" t="s">
        <v>2987</v>
      </c>
      <c r="G2002" t="str">
        <f>"201606000078"</f>
        <v>201606000078</v>
      </c>
      <c r="H2002">
        <v>1100</v>
      </c>
      <c r="I2002">
        <v>0</v>
      </c>
      <c r="J2002">
        <v>70</v>
      </c>
      <c r="K2002">
        <v>0</v>
      </c>
      <c r="L2002">
        <v>0</v>
      </c>
      <c r="M2002">
        <v>0</v>
      </c>
      <c r="N2002">
        <v>0</v>
      </c>
      <c r="O2002">
        <v>0</v>
      </c>
      <c r="P2002">
        <v>0</v>
      </c>
      <c r="Q2002">
        <v>0</v>
      </c>
      <c r="R2002">
        <v>30</v>
      </c>
      <c r="S2002">
        <v>210</v>
      </c>
      <c r="T2002">
        <v>0</v>
      </c>
      <c r="V2002">
        <v>1</v>
      </c>
      <c r="W2002">
        <v>1380</v>
      </c>
    </row>
    <row r="2003" spans="1:23" x14ac:dyDescent="0.25">
      <c r="H2003" t="s">
        <v>2988</v>
      </c>
    </row>
    <row r="2004" spans="1:23" x14ac:dyDescent="0.25">
      <c r="A2004">
        <v>999</v>
      </c>
      <c r="B2004">
        <v>2031</v>
      </c>
      <c r="C2004" t="s">
        <v>2773</v>
      </c>
      <c r="D2004" t="s">
        <v>219</v>
      </c>
      <c r="E2004" t="s">
        <v>607</v>
      </c>
      <c r="F2004" t="s">
        <v>2989</v>
      </c>
      <c r="G2004" t="str">
        <f>"00226372"</f>
        <v>00226372</v>
      </c>
      <c r="H2004">
        <v>792</v>
      </c>
      <c r="I2004">
        <v>0</v>
      </c>
      <c r="J2004">
        <v>0</v>
      </c>
      <c r="K2004">
        <v>0</v>
      </c>
      <c r="L2004">
        <v>0</v>
      </c>
      <c r="M2004">
        <v>0</v>
      </c>
      <c r="N2004">
        <v>0</v>
      </c>
      <c r="O2004">
        <v>0</v>
      </c>
      <c r="P2004">
        <v>0</v>
      </c>
      <c r="Q2004">
        <v>0</v>
      </c>
      <c r="R2004">
        <v>84</v>
      </c>
      <c r="S2004">
        <v>588</v>
      </c>
      <c r="T2004">
        <v>0</v>
      </c>
      <c r="V2004">
        <v>2</v>
      </c>
      <c r="W2004">
        <v>1380</v>
      </c>
    </row>
    <row r="2005" spans="1:23" x14ac:dyDescent="0.25">
      <c r="H2005">
        <v>703</v>
      </c>
    </row>
    <row r="2006" spans="1:23" x14ac:dyDescent="0.25">
      <c r="A2006">
        <v>1000</v>
      </c>
      <c r="B2006">
        <v>385</v>
      </c>
      <c r="C2006" t="s">
        <v>2990</v>
      </c>
      <c r="D2006" t="s">
        <v>2991</v>
      </c>
      <c r="E2006" t="s">
        <v>15</v>
      </c>
      <c r="F2006" t="s">
        <v>2992</v>
      </c>
      <c r="G2006" t="str">
        <f>"00146890"</f>
        <v>00146890</v>
      </c>
      <c r="H2006">
        <v>715</v>
      </c>
      <c r="I2006">
        <v>150</v>
      </c>
      <c r="J2006">
        <v>30</v>
      </c>
      <c r="K2006">
        <v>0</v>
      </c>
      <c r="L2006">
        <v>0</v>
      </c>
      <c r="M2006">
        <v>0</v>
      </c>
      <c r="N2006">
        <v>0</v>
      </c>
      <c r="O2006">
        <v>30</v>
      </c>
      <c r="P2006">
        <v>0</v>
      </c>
      <c r="Q2006">
        <v>0</v>
      </c>
      <c r="R2006">
        <v>65</v>
      </c>
      <c r="S2006">
        <v>455</v>
      </c>
      <c r="T2006">
        <v>0</v>
      </c>
      <c r="V2006">
        <v>0</v>
      </c>
      <c r="W2006">
        <v>1380</v>
      </c>
    </row>
    <row r="2007" spans="1:23" x14ac:dyDescent="0.25">
      <c r="H2007">
        <v>703</v>
      </c>
    </row>
    <row r="2008" spans="1:23" x14ac:dyDescent="0.25">
      <c r="A2008">
        <v>1001</v>
      </c>
      <c r="B2008">
        <v>1887</v>
      </c>
      <c r="C2008" t="s">
        <v>2993</v>
      </c>
      <c r="D2008" t="s">
        <v>52</v>
      </c>
      <c r="E2008" t="s">
        <v>21</v>
      </c>
      <c r="F2008" t="s">
        <v>2994</v>
      </c>
      <c r="G2008" t="str">
        <f>"00228343"</f>
        <v>00228343</v>
      </c>
      <c r="H2008" t="s">
        <v>1001</v>
      </c>
      <c r="I2008">
        <v>0</v>
      </c>
      <c r="J2008">
        <v>0</v>
      </c>
      <c r="K2008">
        <v>0</v>
      </c>
      <c r="L2008">
        <v>0</v>
      </c>
      <c r="M2008">
        <v>0</v>
      </c>
      <c r="N2008">
        <v>0</v>
      </c>
      <c r="O2008">
        <v>0</v>
      </c>
      <c r="P2008">
        <v>0</v>
      </c>
      <c r="Q2008">
        <v>0</v>
      </c>
      <c r="R2008">
        <v>69</v>
      </c>
      <c r="S2008">
        <v>483</v>
      </c>
      <c r="T2008">
        <v>0</v>
      </c>
      <c r="V2008">
        <v>2</v>
      </c>
      <c r="W2008" t="s">
        <v>2995</v>
      </c>
    </row>
    <row r="2009" spans="1:23" x14ac:dyDescent="0.25">
      <c r="H2009">
        <v>703</v>
      </c>
    </row>
    <row r="2010" spans="1:23" x14ac:dyDescent="0.25">
      <c r="A2010">
        <v>1002</v>
      </c>
      <c r="B2010">
        <v>2663</v>
      </c>
      <c r="C2010" t="s">
        <v>2996</v>
      </c>
      <c r="D2010" t="s">
        <v>109</v>
      </c>
      <c r="E2010" t="s">
        <v>2997</v>
      </c>
      <c r="F2010" t="s">
        <v>2998</v>
      </c>
      <c r="G2010" t="str">
        <f>"00020277"</f>
        <v>00020277</v>
      </c>
      <c r="H2010" t="s">
        <v>2374</v>
      </c>
      <c r="I2010">
        <v>0</v>
      </c>
      <c r="J2010">
        <v>70</v>
      </c>
      <c r="K2010">
        <v>0</v>
      </c>
      <c r="L2010">
        <v>0</v>
      </c>
      <c r="M2010">
        <v>0</v>
      </c>
      <c r="N2010">
        <v>0</v>
      </c>
      <c r="O2010">
        <v>0</v>
      </c>
      <c r="P2010">
        <v>50</v>
      </c>
      <c r="Q2010">
        <v>0</v>
      </c>
      <c r="R2010">
        <v>66</v>
      </c>
      <c r="S2010">
        <v>462</v>
      </c>
      <c r="T2010">
        <v>0</v>
      </c>
      <c r="V2010">
        <v>2</v>
      </c>
      <c r="W2010" t="s">
        <v>2995</v>
      </c>
    </row>
    <row r="2011" spans="1:23" x14ac:dyDescent="0.25">
      <c r="H2011">
        <v>703</v>
      </c>
    </row>
    <row r="2012" spans="1:23" x14ac:dyDescent="0.25">
      <c r="A2012">
        <v>1003</v>
      </c>
      <c r="B2012">
        <v>866</v>
      </c>
      <c r="C2012" t="s">
        <v>2999</v>
      </c>
      <c r="D2012" t="s">
        <v>32</v>
      </c>
      <c r="E2012" t="s">
        <v>53</v>
      </c>
      <c r="F2012" t="s">
        <v>3000</v>
      </c>
      <c r="G2012" t="str">
        <f>"201511042238"</f>
        <v>201511042238</v>
      </c>
      <c r="H2012">
        <v>1012</v>
      </c>
      <c r="I2012">
        <v>150</v>
      </c>
      <c r="J2012">
        <v>0</v>
      </c>
      <c r="K2012">
        <v>0</v>
      </c>
      <c r="L2012">
        <v>0</v>
      </c>
      <c r="M2012">
        <v>0</v>
      </c>
      <c r="N2012">
        <v>0</v>
      </c>
      <c r="O2012">
        <v>0</v>
      </c>
      <c r="P2012">
        <v>0</v>
      </c>
      <c r="Q2012">
        <v>0</v>
      </c>
      <c r="R2012">
        <v>31</v>
      </c>
      <c r="S2012">
        <v>217</v>
      </c>
      <c r="T2012">
        <v>0</v>
      </c>
      <c r="V2012">
        <v>1</v>
      </c>
      <c r="W2012">
        <v>1379</v>
      </c>
    </row>
    <row r="2013" spans="1:23" x14ac:dyDescent="0.25">
      <c r="H2013">
        <v>703</v>
      </c>
    </row>
    <row r="2014" spans="1:23" x14ac:dyDescent="0.25">
      <c r="A2014">
        <v>1004</v>
      </c>
      <c r="B2014">
        <v>371</v>
      </c>
      <c r="C2014" t="s">
        <v>3001</v>
      </c>
      <c r="D2014" t="s">
        <v>32</v>
      </c>
      <c r="E2014" t="s">
        <v>53</v>
      </c>
      <c r="F2014" t="s">
        <v>3002</v>
      </c>
      <c r="G2014" t="str">
        <f>"00148867"</f>
        <v>00148867</v>
      </c>
      <c r="H2014" t="s">
        <v>408</v>
      </c>
      <c r="I2014">
        <v>0</v>
      </c>
      <c r="J2014">
        <v>0</v>
      </c>
      <c r="K2014">
        <v>0</v>
      </c>
      <c r="L2014">
        <v>0</v>
      </c>
      <c r="M2014">
        <v>0</v>
      </c>
      <c r="N2014">
        <v>0</v>
      </c>
      <c r="O2014">
        <v>0</v>
      </c>
      <c r="P2014">
        <v>0</v>
      </c>
      <c r="Q2014">
        <v>0</v>
      </c>
      <c r="R2014">
        <v>62</v>
      </c>
      <c r="S2014">
        <v>434</v>
      </c>
      <c r="T2014">
        <v>0</v>
      </c>
      <c r="V2014">
        <v>0</v>
      </c>
      <c r="W2014" t="s">
        <v>3003</v>
      </c>
    </row>
    <row r="2015" spans="1:23" x14ac:dyDescent="0.25">
      <c r="H2015">
        <v>703</v>
      </c>
    </row>
    <row r="2016" spans="1:23" x14ac:dyDescent="0.25">
      <c r="A2016">
        <v>1005</v>
      </c>
      <c r="B2016">
        <v>2659</v>
      </c>
      <c r="C2016" t="s">
        <v>3004</v>
      </c>
      <c r="D2016" t="s">
        <v>46</v>
      </c>
      <c r="E2016" t="s">
        <v>3005</v>
      </c>
      <c r="F2016" t="s">
        <v>3006</v>
      </c>
      <c r="G2016" t="str">
        <f>"201511027132"</f>
        <v>201511027132</v>
      </c>
      <c r="H2016" t="s">
        <v>3007</v>
      </c>
      <c r="I2016">
        <v>0</v>
      </c>
      <c r="J2016">
        <v>30</v>
      </c>
      <c r="K2016">
        <v>0</v>
      </c>
      <c r="L2016">
        <v>70</v>
      </c>
      <c r="M2016">
        <v>0</v>
      </c>
      <c r="N2016">
        <v>0</v>
      </c>
      <c r="O2016">
        <v>0</v>
      </c>
      <c r="P2016">
        <v>0</v>
      </c>
      <c r="Q2016">
        <v>0</v>
      </c>
      <c r="R2016">
        <v>84</v>
      </c>
      <c r="S2016">
        <v>588</v>
      </c>
      <c r="T2016">
        <v>0</v>
      </c>
      <c r="V2016">
        <v>0</v>
      </c>
      <c r="W2016" t="s">
        <v>3008</v>
      </c>
    </row>
    <row r="2017" spans="1:23" x14ac:dyDescent="0.25">
      <c r="H2017" t="s">
        <v>70</v>
      </c>
    </row>
    <row r="2018" spans="1:23" x14ac:dyDescent="0.25">
      <c r="A2018">
        <v>1006</v>
      </c>
      <c r="B2018">
        <v>2076</v>
      </c>
      <c r="C2018" t="s">
        <v>3009</v>
      </c>
      <c r="D2018" t="s">
        <v>501</v>
      </c>
      <c r="E2018" t="s">
        <v>41</v>
      </c>
      <c r="F2018" t="s">
        <v>3010</v>
      </c>
      <c r="G2018" t="str">
        <f>"200812000012"</f>
        <v>200812000012</v>
      </c>
      <c r="H2018" t="s">
        <v>1532</v>
      </c>
      <c r="I2018">
        <v>0</v>
      </c>
      <c r="J2018">
        <v>0</v>
      </c>
      <c r="K2018">
        <v>0</v>
      </c>
      <c r="L2018">
        <v>0</v>
      </c>
      <c r="M2018">
        <v>0</v>
      </c>
      <c r="N2018">
        <v>0</v>
      </c>
      <c r="O2018">
        <v>0</v>
      </c>
      <c r="P2018">
        <v>0</v>
      </c>
      <c r="Q2018">
        <v>0</v>
      </c>
      <c r="R2018">
        <v>64</v>
      </c>
      <c r="S2018">
        <v>448</v>
      </c>
      <c r="T2018">
        <v>0</v>
      </c>
      <c r="V2018">
        <v>0</v>
      </c>
      <c r="W2018" t="s">
        <v>3011</v>
      </c>
    </row>
    <row r="2019" spans="1:23" x14ac:dyDescent="0.25">
      <c r="H2019">
        <v>703</v>
      </c>
    </row>
    <row r="2020" spans="1:23" x14ac:dyDescent="0.25">
      <c r="A2020">
        <v>1007</v>
      </c>
      <c r="B2020">
        <v>1139</v>
      </c>
      <c r="C2020" t="s">
        <v>3012</v>
      </c>
      <c r="D2020" t="s">
        <v>1798</v>
      </c>
      <c r="E2020" t="s">
        <v>884</v>
      </c>
      <c r="F2020" t="s">
        <v>3013</v>
      </c>
      <c r="G2020" t="str">
        <f>"201406004012"</f>
        <v>201406004012</v>
      </c>
      <c r="H2020" t="s">
        <v>177</v>
      </c>
      <c r="I2020">
        <v>0</v>
      </c>
      <c r="J2020">
        <v>30</v>
      </c>
      <c r="K2020">
        <v>0</v>
      </c>
      <c r="L2020">
        <v>0</v>
      </c>
      <c r="M2020">
        <v>0</v>
      </c>
      <c r="N2020">
        <v>0</v>
      </c>
      <c r="O2020">
        <v>0</v>
      </c>
      <c r="P2020">
        <v>0</v>
      </c>
      <c r="Q2020">
        <v>0</v>
      </c>
      <c r="R2020">
        <v>38</v>
      </c>
      <c r="S2020">
        <v>266</v>
      </c>
      <c r="T2020">
        <v>0</v>
      </c>
      <c r="V2020">
        <v>0</v>
      </c>
      <c r="W2020" t="s">
        <v>3014</v>
      </c>
    </row>
    <row r="2021" spans="1:23" x14ac:dyDescent="0.25">
      <c r="H2021">
        <v>703</v>
      </c>
    </row>
    <row r="2022" spans="1:23" x14ac:dyDescent="0.25">
      <c r="A2022">
        <v>1008</v>
      </c>
      <c r="B2022">
        <v>1663</v>
      </c>
      <c r="C2022" t="s">
        <v>3015</v>
      </c>
      <c r="D2022" t="s">
        <v>523</v>
      </c>
      <c r="E2022" t="s">
        <v>53</v>
      </c>
      <c r="F2022" t="s">
        <v>3016</v>
      </c>
      <c r="G2022" t="str">
        <f>"200802011689"</f>
        <v>200802011689</v>
      </c>
      <c r="H2022">
        <v>759</v>
      </c>
      <c r="I2022">
        <v>0</v>
      </c>
      <c r="J2022">
        <v>30</v>
      </c>
      <c r="K2022">
        <v>0</v>
      </c>
      <c r="L2022">
        <v>0</v>
      </c>
      <c r="M2022">
        <v>0</v>
      </c>
      <c r="N2022">
        <v>0</v>
      </c>
      <c r="O2022">
        <v>0</v>
      </c>
      <c r="P2022">
        <v>0</v>
      </c>
      <c r="Q2022">
        <v>0</v>
      </c>
      <c r="R2022">
        <v>84</v>
      </c>
      <c r="S2022">
        <v>588</v>
      </c>
      <c r="T2022">
        <v>0</v>
      </c>
      <c r="V2022">
        <v>2</v>
      </c>
      <c r="W2022">
        <v>1377</v>
      </c>
    </row>
    <row r="2023" spans="1:23" x14ac:dyDescent="0.25">
      <c r="H2023">
        <v>703</v>
      </c>
    </row>
    <row r="2024" spans="1:23" x14ac:dyDescent="0.25">
      <c r="A2024">
        <v>1009</v>
      </c>
      <c r="B2024">
        <v>3121</v>
      </c>
      <c r="C2024" t="s">
        <v>3017</v>
      </c>
      <c r="D2024" t="s">
        <v>20</v>
      </c>
      <c r="E2024" t="s">
        <v>76</v>
      </c>
      <c r="F2024" t="s">
        <v>3018</v>
      </c>
      <c r="G2024" t="str">
        <f>"201402004261"</f>
        <v>201402004261</v>
      </c>
      <c r="H2024" t="s">
        <v>1014</v>
      </c>
      <c r="I2024">
        <v>0</v>
      </c>
      <c r="J2024">
        <v>30</v>
      </c>
      <c r="K2024">
        <v>50</v>
      </c>
      <c r="L2024">
        <v>0</v>
      </c>
      <c r="M2024">
        <v>0</v>
      </c>
      <c r="N2024">
        <v>0</v>
      </c>
      <c r="O2024">
        <v>0</v>
      </c>
      <c r="P2024">
        <v>0</v>
      </c>
      <c r="Q2024">
        <v>0</v>
      </c>
      <c r="R2024">
        <v>60</v>
      </c>
      <c r="S2024">
        <v>420</v>
      </c>
      <c r="T2024">
        <v>0</v>
      </c>
      <c r="V2024">
        <v>0</v>
      </c>
      <c r="W2024" t="s">
        <v>3019</v>
      </c>
    </row>
    <row r="2025" spans="1:23" x14ac:dyDescent="0.25">
      <c r="H2025" t="s">
        <v>70</v>
      </c>
    </row>
    <row r="2026" spans="1:23" x14ac:dyDescent="0.25">
      <c r="A2026">
        <v>1010</v>
      </c>
      <c r="B2026">
        <v>2319</v>
      </c>
      <c r="C2026" t="s">
        <v>3020</v>
      </c>
      <c r="D2026" t="s">
        <v>273</v>
      </c>
      <c r="E2026" t="s">
        <v>356</v>
      </c>
      <c r="F2026" t="s">
        <v>3021</v>
      </c>
      <c r="G2026" t="str">
        <f>"201412000249"</f>
        <v>201412000249</v>
      </c>
      <c r="H2026" t="s">
        <v>101</v>
      </c>
      <c r="I2026">
        <v>150</v>
      </c>
      <c r="J2026">
        <v>70</v>
      </c>
      <c r="K2026">
        <v>0</v>
      </c>
      <c r="L2026">
        <v>0</v>
      </c>
      <c r="M2026">
        <v>0</v>
      </c>
      <c r="N2026">
        <v>0</v>
      </c>
      <c r="O2026">
        <v>0</v>
      </c>
      <c r="P2026">
        <v>0</v>
      </c>
      <c r="Q2026">
        <v>0</v>
      </c>
      <c r="R2026">
        <v>13</v>
      </c>
      <c r="S2026">
        <v>91</v>
      </c>
      <c r="T2026">
        <v>0</v>
      </c>
      <c r="V2026">
        <v>0</v>
      </c>
      <c r="W2026" t="s">
        <v>3022</v>
      </c>
    </row>
    <row r="2027" spans="1:23" x14ac:dyDescent="0.25">
      <c r="H2027">
        <v>703</v>
      </c>
    </row>
    <row r="2028" spans="1:23" x14ac:dyDescent="0.25">
      <c r="A2028">
        <v>1011</v>
      </c>
      <c r="B2028">
        <v>537</v>
      </c>
      <c r="C2028" t="s">
        <v>3023</v>
      </c>
      <c r="D2028" t="s">
        <v>322</v>
      </c>
      <c r="E2028" t="s">
        <v>53</v>
      </c>
      <c r="F2028" t="s">
        <v>3024</v>
      </c>
      <c r="G2028" t="str">
        <f>"00147870"</f>
        <v>00147870</v>
      </c>
      <c r="H2028">
        <v>869</v>
      </c>
      <c r="I2028">
        <v>0</v>
      </c>
      <c r="J2028">
        <v>0</v>
      </c>
      <c r="K2028">
        <v>0</v>
      </c>
      <c r="L2028">
        <v>0</v>
      </c>
      <c r="M2028">
        <v>0</v>
      </c>
      <c r="N2028">
        <v>0</v>
      </c>
      <c r="O2028">
        <v>0</v>
      </c>
      <c r="P2028">
        <v>0</v>
      </c>
      <c r="Q2028">
        <v>0</v>
      </c>
      <c r="R2028">
        <v>72</v>
      </c>
      <c r="S2028">
        <v>504</v>
      </c>
      <c r="T2028">
        <v>0</v>
      </c>
      <c r="V2028">
        <v>0</v>
      </c>
      <c r="W2028">
        <v>1373</v>
      </c>
    </row>
    <row r="2029" spans="1:23" x14ac:dyDescent="0.25">
      <c r="H2029">
        <v>703</v>
      </c>
    </row>
    <row r="2030" spans="1:23" x14ac:dyDescent="0.25">
      <c r="A2030">
        <v>1012</v>
      </c>
      <c r="B2030">
        <v>1186</v>
      </c>
      <c r="C2030" t="s">
        <v>3025</v>
      </c>
      <c r="D2030" t="s">
        <v>432</v>
      </c>
      <c r="E2030" t="s">
        <v>350</v>
      </c>
      <c r="F2030" t="s">
        <v>3026</v>
      </c>
      <c r="G2030" t="str">
        <f>"00223706"</f>
        <v>00223706</v>
      </c>
      <c r="H2030" t="s">
        <v>237</v>
      </c>
      <c r="I2030">
        <v>0</v>
      </c>
      <c r="J2030">
        <v>30</v>
      </c>
      <c r="K2030">
        <v>0</v>
      </c>
      <c r="L2030">
        <v>0</v>
      </c>
      <c r="M2030">
        <v>0</v>
      </c>
      <c r="N2030">
        <v>0</v>
      </c>
      <c r="O2030">
        <v>0</v>
      </c>
      <c r="P2030">
        <v>0</v>
      </c>
      <c r="Q2030">
        <v>0</v>
      </c>
      <c r="R2030">
        <v>48</v>
      </c>
      <c r="S2030">
        <v>336</v>
      </c>
      <c r="T2030">
        <v>0</v>
      </c>
      <c r="V2030">
        <v>1</v>
      </c>
      <c r="W2030" t="s">
        <v>3027</v>
      </c>
    </row>
    <row r="2031" spans="1:23" x14ac:dyDescent="0.25">
      <c r="H2031" t="s">
        <v>26</v>
      </c>
    </row>
    <row r="2032" spans="1:23" x14ac:dyDescent="0.25">
      <c r="A2032">
        <v>1013</v>
      </c>
      <c r="B2032">
        <v>3182</v>
      </c>
      <c r="C2032" t="s">
        <v>3028</v>
      </c>
      <c r="D2032" t="s">
        <v>53</v>
      </c>
      <c r="E2032" t="s">
        <v>15</v>
      </c>
      <c r="F2032" t="s">
        <v>3029</v>
      </c>
      <c r="G2032" t="str">
        <f>"00161491"</f>
        <v>00161491</v>
      </c>
      <c r="H2032" t="s">
        <v>1706</v>
      </c>
      <c r="I2032">
        <v>0</v>
      </c>
      <c r="J2032">
        <v>0</v>
      </c>
      <c r="K2032">
        <v>0</v>
      </c>
      <c r="L2032">
        <v>0</v>
      </c>
      <c r="M2032">
        <v>0</v>
      </c>
      <c r="N2032">
        <v>0</v>
      </c>
      <c r="O2032">
        <v>0</v>
      </c>
      <c r="P2032">
        <v>0</v>
      </c>
      <c r="Q2032">
        <v>0</v>
      </c>
      <c r="R2032">
        <v>84</v>
      </c>
      <c r="S2032">
        <v>588</v>
      </c>
      <c r="T2032">
        <v>0</v>
      </c>
      <c r="V2032">
        <v>0</v>
      </c>
      <c r="W2032" t="s">
        <v>3030</v>
      </c>
    </row>
    <row r="2033" spans="1:23" x14ac:dyDescent="0.25">
      <c r="H2033">
        <v>703</v>
      </c>
    </row>
    <row r="2034" spans="1:23" x14ac:dyDescent="0.25">
      <c r="A2034">
        <v>1014</v>
      </c>
      <c r="B2034">
        <v>2335</v>
      </c>
      <c r="C2034" t="s">
        <v>3031</v>
      </c>
      <c r="D2034" t="s">
        <v>273</v>
      </c>
      <c r="E2034" t="s">
        <v>15</v>
      </c>
      <c r="F2034" t="s">
        <v>3032</v>
      </c>
      <c r="G2034" t="str">
        <f>"00148982"</f>
        <v>00148982</v>
      </c>
      <c r="H2034" t="s">
        <v>1706</v>
      </c>
      <c r="I2034">
        <v>0</v>
      </c>
      <c r="J2034">
        <v>0</v>
      </c>
      <c r="K2034">
        <v>0</v>
      </c>
      <c r="L2034">
        <v>0</v>
      </c>
      <c r="M2034">
        <v>0</v>
      </c>
      <c r="N2034">
        <v>0</v>
      </c>
      <c r="O2034">
        <v>0</v>
      </c>
      <c r="P2034">
        <v>0</v>
      </c>
      <c r="Q2034">
        <v>0</v>
      </c>
      <c r="R2034">
        <v>84</v>
      </c>
      <c r="S2034">
        <v>588</v>
      </c>
      <c r="T2034">
        <v>0</v>
      </c>
      <c r="V2034">
        <v>0</v>
      </c>
      <c r="W2034" t="s">
        <v>3030</v>
      </c>
    </row>
    <row r="2035" spans="1:23" x14ac:dyDescent="0.25">
      <c r="H2035" t="s">
        <v>587</v>
      </c>
    </row>
    <row r="2036" spans="1:23" x14ac:dyDescent="0.25">
      <c r="A2036">
        <v>1015</v>
      </c>
      <c r="B2036">
        <v>2792</v>
      </c>
      <c r="C2036" t="s">
        <v>3033</v>
      </c>
      <c r="D2036" t="s">
        <v>140</v>
      </c>
      <c r="E2036" t="s">
        <v>99</v>
      </c>
      <c r="F2036" t="s">
        <v>3034</v>
      </c>
      <c r="G2036" t="str">
        <f>"200801011577"</f>
        <v>200801011577</v>
      </c>
      <c r="H2036" t="s">
        <v>3035</v>
      </c>
      <c r="I2036">
        <v>150</v>
      </c>
      <c r="J2036">
        <v>0</v>
      </c>
      <c r="K2036">
        <v>0</v>
      </c>
      <c r="L2036">
        <v>0</v>
      </c>
      <c r="M2036">
        <v>0</v>
      </c>
      <c r="N2036">
        <v>0</v>
      </c>
      <c r="O2036">
        <v>0</v>
      </c>
      <c r="P2036">
        <v>0</v>
      </c>
      <c r="Q2036">
        <v>0</v>
      </c>
      <c r="R2036">
        <v>66</v>
      </c>
      <c r="S2036">
        <v>462</v>
      </c>
      <c r="T2036">
        <v>0</v>
      </c>
      <c r="V2036">
        <v>0</v>
      </c>
      <c r="W2036" t="s">
        <v>3036</v>
      </c>
    </row>
    <row r="2037" spans="1:23" x14ac:dyDescent="0.25">
      <c r="H2037">
        <v>703</v>
      </c>
    </row>
    <row r="2038" spans="1:23" x14ac:dyDescent="0.25">
      <c r="A2038">
        <v>1016</v>
      </c>
      <c r="B2038">
        <v>3193</v>
      </c>
      <c r="C2038" t="s">
        <v>3037</v>
      </c>
      <c r="D2038" t="s">
        <v>556</v>
      </c>
      <c r="E2038" t="s">
        <v>53</v>
      </c>
      <c r="F2038" t="s">
        <v>3038</v>
      </c>
      <c r="G2038" t="str">
        <f>"201406015682"</f>
        <v>201406015682</v>
      </c>
      <c r="H2038" t="s">
        <v>2191</v>
      </c>
      <c r="I2038">
        <v>0</v>
      </c>
      <c r="J2038">
        <v>30</v>
      </c>
      <c r="K2038">
        <v>0</v>
      </c>
      <c r="L2038">
        <v>0</v>
      </c>
      <c r="M2038">
        <v>0</v>
      </c>
      <c r="N2038">
        <v>0</v>
      </c>
      <c r="O2038">
        <v>0</v>
      </c>
      <c r="P2038">
        <v>0</v>
      </c>
      <c r="Q2038">
        <v>0</v>
      </c>
      <c r="R2038">
        <v>84</v>
      </c>
      <c r="S2038">
        <v>588</v>
      </c>
      <c r="T2038">
        <v>0</v>
      </c>
      <c r="V2038">
        <v>0</v>
      </c>
      <c r="W2038" t="s">
        <v>3039</v>
      </c>
    </row>
    <row r="2039" spans="1:23" x14ac:dyDescent="0.25">
      <c r="H2039">
        <v>703</v>
      </c>
    </row>
    <row r="2040" spans="1:23" x14ac:dyDescent="0.25">
      <c r="A2040">
        <v>1017</v>
      </c>
      <c r="B2040">
        <v>19</v>
      </c>
      <c r="C2040" t="s">
        <v>3040</v>
      </c>
      <c r="D2040" t="s">
        <v>3041</v>
      </c>
      <c r="E2040" t="s">
        <v>47</v>
      </c>
      <c r="F2040" t="s">
        <v>3042</v>
      </c>
      <c r="G2040" t="str">
        <f>"00027381"</f>
        <v>00027381</v>
      </c>
      <c r="H2040" t="s">
        <v>3043</v>
      </c>
      <c r="I2040">
        <v>0</v>
      </c>
      <c r="J2040">
        <v>30</v>
      </c>
      <c r="K2040">
        <v>0</v>
      </c>
      <c r="L2040">
        <v>0</v>
      </c>
      <c r="M2040">
        <v>0</v>
      </c>
      <c r="N2040">
        <v>0</v>
      </c>
      <c r="O2040">
        <v>0</v>
      </c>
      <c r="P2040">
        <v>0</v>
      </c>
      <c r="Q2040">
        <v>0</v>
      </c>
      <c r="R2040">
        <v>84</v>
      </c>
      <c r="S2040">
        <v>588</v>
      </c>
      <c r="T2040">
        <v>0</v>
      </c>
      <c r="V2040">
        <v>2</v>
      </c>
      <c r="W2040" t="s">
        <v>3044</v>
      </c>
    </row>
    <row r="2041" spans="1:23" x14ac:dyDescent="0.25">
      <c r="H2041" t="s">
        <v>70</v>
      </c>
    </row>
    <row r="2042" spans="1:23" x14ac:dyDescent="0.25">
      <c r="A2042">
        <v>1018</v>
      </c>
      <c r="B2042">
        <v>1569</v>
      </c>
      <c r="C2042" t="s">
        <v>3045</v>
      </c>
      <c r="D2042" t="s">
        <v>3046</v>
      </c>
      <c r="E2042" t="s">
        <v>105</v>
      </c>
      <c r="F2042" t="s">
        <v>3047</v>
      </c>
      <c r="G2042" t="str">
        <f>"201304004434"</f>
        <v>201304004434</v>
      </c>
      <c r="H2042">
        <v>968</v>
      </c>
      <c r="I2042">
        <v>0</v>
      </c>
      <c r="J2042">
        <v>70</v>
      </c>
      <c r="K2042">
        <v>0</v>
      </c>
      <c r="L2042">
        <v>0</v>
      </c>
      <c r="M2042">
        <v>0</v>
      </c>
      <c r="N2042">
        <v>30</v>
      </c>
      <c r="O2042">
        <v>0</v>
      </c>
      <c r="P2042">
        <v>0</v>
      </c>
      <c r="Q2042">
        <v>0</v>
      </c>
      <c r="R2042">
        <v>43</v>
      </c>
      <c r="S2042">
        <v>301</v>
      </c>
      <c r="T2042">
        <v>0</v>
      </c>
      <c r="V2042">
        <v>0</v>
      </c>
      <c r="W2042">
        <v>1369</v>
      </c>
    </row>
    <row r="2043" spans="1:23" x14ac:dyDescent="0.25">
      <c r="H2043" t="s">
        <v>26</v>
      </c>
    </row>
    <row r="2044" spans="1:23" x14ac:dyDescent="0.25">
      <c r="A2044">
        <v>1019</v>
      </c>
      <c r="B2044">
        <v>859</v>
      </c>
      <c r="C2044" t="s">
        <v>3048</v>
      </c>
      <c r="D2044" t="s">
        <v>610</v>
      </c>
      <c r="E2044" t="s">
        <v>41</v>
      </c>
      <c r="F2044" t="s">
        <v>3049</v>
      </c>
      <c r="G2044" t="str">
        <f>"00141077"</f>
        <v>00141077</v>
      </c>
      <c r="H2044" t="s">
        <v>1742</v>
      </c>
      <c r="I2044">
        <v>0</v>
      </c>
      <c r="J2044">
        <v>0</v>
      </c>
      <c r="K2044">
        <v>0</v>
      </c>
      <c r="L2044">
        <v>0</v>
      </c>
      <c r="M2044">
        <v>0</v>
      </c>
      <c r="N2044">
        <v>0</v>
      </c>
      <c r="O2044">
        <v>0</v>
      </c>
      <c r="P2044">
        <v>0</v>
      </c>
      <c r="Q2044">
        <v>0</v>
      </c>
      <c r="R2044">
        <v>84</v>
      </c>
      <c r="S2044">
        <v>588</v>
      </c>
      <c r="T2044">
        <v>0</v>
      </c>
      <c r="V2044">
        <v>0</v>
      </c>
      <c r="W2044" t="s">
        <v>3050</v>
      </c>
    </row>
    <row r="2045" spans="1:23" x14ac:dyDescent="0.25">
      <c r="H2045">
        <v>703</v>
      </c>
    </row>
    <row r="2046" spans="1:23" x14ac:dyDescent="0.25">
      <c r="A2046">
        <v>1020</v>
      </c>
      <c r="B2046">
        <v>1900</v>
      </c>
      <c r="C2046" t="s">
        <v>3051</v>
      </c>
      <c r="D2046" t="s">
        <v>20</v>
      </c>
      <c r="E2046" t="s">
        <v>482</v>
      </c>
      <c r="F2046" t="s">
        <v>3052</v>
      </c>
      <c r="G2046" t="str">
        <f>"00170389"</f>
        <v>00170389</v>
      </c>
      <c r="H2046" t="s">
        <v>1742</v>
      </c>
      <c r="I2046">
        <v>0</v>
      </c>
      <c r="J2046">
        <v>0</v>
      </c>
      <c r="K2046">
        <v>0</v>
      </c>
      <c r="L2046">
        <v>0</v>
      </c>
      <c r="M2046">
        <v>0</v>
      </c>
      <c r="N2046">
        <v>0</v>
      </c>
      <c r="O2046">
        <v>0</v>
      </c>
      <c r="P2046">
        <v>0</v>
      </c>
      <c r="Q2046">
        <v>0</v>
      </c>
      <c r="R2046">
        <v>84</v>
      </c>
      <c r="S2046">
        <v>588</v>
      </c>
      <c r="T2046">
        <v>0</v>
      </c>
      <c r="V2046">
        <v>0</v>
      </c>
      <c r="W2046" t="s">
        <v>3050</v>
      </c>
    </row>
    <row r="2047" spans="1:23" x14ac:dyDescent="0.25">
      <c r="H2047">
        <v>703</v>
      </c>
    </row>
    <row r="2048" spans="1:23" x14ac:dyDescent="0.25">
      <c r="A2048">
        <v>1021</v>
      </c>
      <c r="B2048">
        <v>1810</v>
      </c>
      <c r="C2048" t="s">
        <v>3053</v>
      </c>
      <c r="D2048" t="s">
        <v>254</v>
      </c>
      <c r="E2048" t="s">
        <v>47</v>
      </c>
      <c r="F2048" t="s">
        <v>3054</v>
      </c>
      <c r="G2048" t="str">
        <f>"201406012682"</f>
        <v>201406012682</v>
      </c>
      <c r="H2048" t="s">
        <v>1776</v>
      </c>
      <c r="I2048">
        <v>0</v>
      </c>
      <c r="J2048">
        <v>30</v>
      </c>
      <c r="K2048">
        <v>0</v>
      </c>
      <c r="L2048">
        <v>0</v>
      </c>
      <c r="M2048">
        <v>0</v>
      </c>
      <c r="N2048">
        <v>0</v>
      </c>
      <c r="O2048">
        <v>0</v>
      </c>
      <c r="P2048">
        <v>0</v>
      </c>
      <c r="Q2048">
        <v>0</v>
      </c>
      <c r="R2048">
        <v>49</v>
      </c>
      <c r="S2048">
        <v>343</v>
      </c>
      <c r="T2048">
        <v>0</v>
      </c>
      <c r="V2048">
        <v>0</v>
      </c>
      <c r="W2048" t="s">
        <v>3055</v>
      </c>
    </row>
    <row r="2049" spans="1:23" x14ac:dyDescent="0.25">
      <c r="H2049" t="s">
        <v>26</v>
      </c>
    </row>
    <row r="2050" spans="1:23" x14ac:dyDescent="0.25">
      <c r="A2050">
        <v>1022</v>
      </c>
      <c r="B2050">
        <v>1176</v>
      </c>
      <c r="C2050" t="s">
        <v>3056</v>
      </c>
      <c r="D2050" t="s">
        <v>32</v>
      </c>
      <c r="E2050" t="s">
        <v>88</v>
      </c>
      <c r="F2050" t="s">
        <v>3057</v>
      </c>
      <c r="G2050" t="str">
        <f>"201412007181"</f>
        <v>201412007181</v>
      </c>
      <c r="H2050">
        <v>902</v>
      </c>
      <c r="I2050">
        <v>0</v>
      </c>
      <c r="J2050">
        <v>30</v>
      </c>
      <c r="K2050">
        <v>0</v>
      </c>
      <c r="L2050">
        <v>0</v>
      </c>
      <c r="M2050">
        <v>0</v>
      </c>
      <c r="N2050">
        <v>0</v>
      </c>
      <c r="O2050">
        <v>0</v>
      </c>
      <c r="P2050">
        <v>0</v>
      </c>
      <c r="Q2050">
        <v>0</v>
      </c>
      <c r="R2050">
        <v>62</v>
      </c>
      <c r="S2050">
        <v>434</v>
      </c>
      <c r="T2050">
        <v>0</v>
      </c>
      <c r="V2050">
        <v>0</v>
      </c>
      <c r="W2050">
        <v>1366</v>
      </c>
    </row>
    <row r="2051" spans="1:23" x14ac:dyDescent="0.25">
      <c r="H2051">
        <v>703</v>
      </c>
    </row>
    <row r="2052" spans="1:23" x14ac:dyDescent="0.25">
      <c r="A2052">
        <v>1023</v>
      </c>
      <c r="B2052">
        <v>2805</v>
      </c>
      <c r="C2052" t="s">
        <v>3058</v>
      </c>
      <c r="D2052" t="s">
        <v>46</v>
      </c>
      <c r="E2052" t="s">
        <v>135</v>
      </c>
      <c r="F2052" t="s">
        <v>3059</v>
      </c>
      <c r="G2052" t="str">
        <f>"00222224"</f>
        <v>00222224</v>
      </c>
      <c r="H2052">
        <v>748</v>
      </c>
      <c r="I2052">
        <v>0</v>
      </c>
      <c r="J2052">
        <v>30</v>
      </c>
      <c r="K2052">
        <v>0</v>
      </c>
      <c r="L2052">
        <v>0</v>
      </c>
      <c r="M2052">
        <v>0</v>
      </c>
      <c r="N2052">
        <v>0</v>
      </c>
      <c r="O2052">
        <v>0</v>
      </c>
      <c r="P2052">
        <v>0</v>
      </c>
      <c r="Q2052">
        <v>0</v>
      </c>
      <c r="R2052">
        <v>84</v>
      </c>
      <c r="S2052">
        <v>588</v>
      </c>
      <c r="T2052">
        <v>0</v>
      </c>
      <c r="V2052">
        <v>0</v>
      </c>
      <c r="W2052">
        <v>1366</v>
      </c>
    </row>
    <row r="2053" spans="1:23" x14ac:dyDescent="0.25">
      <c r="H2053">
        <v>703</v>
      </c>
    </row>
    <row r="2054" spans="1:23" x14ac:dyDescent="0.25">
      <c r="A2054">
        <v>1024</v>
      </c>
      <c r="B2054">
        <v>551</v>
      </c>
      <c r="C2054" t="s">
        <v>3060</v>
      </c>
      <c r="D2054" t="s">
        <v>3061</v>
      </c>
      <c r="E2054" t="s">
        <v>91</v>
      </c>
      <c r="F2054" t="s">
        <v>3062</v>
      </c>
      <c r="G2054" t="str">
        <f>"201511024760"</f>
        <v>201511024760</v>
      </c>
      <c r="H2054" t="s">
        <v>667</v>
      </c>
      <c r="I2054">
        <v>150</v>
      </c>
      <c r="J2054">
        <v>30</v>
      </c>
      <c r="K2054">
        <v>0</v>
      </c>
      <c r="L2054">
        <v>0</v>
      </c>
      <c r="M2054">
        <v>0</v>
      </c>
      <c r="N2054">
        <v>0</v>
      </c>
      <c r="O2054">
        <v>0</v>
      </c>
      <c r="P2054">
        <v>0</v>
      </c>
      <c r="Q2054">
        <v>0</v>
      </c>
      <c r="R2054">
        <v>30</v>
      </c>
      <c r="S2054">
        <v>210</v>
      </c>
      <c r="T2054">
        <v>0</v>
      </c>
      <c r="V2054">
        <v>0</v>
      </c>
      <c r="W2054" t="s">
        <v>3063</v>
      </c>
    </row>
    <row r="2055" spans="1:23" x14ac:dyDescent="0.25">
      <c r="H2055">
        <v>703</v>
      </c>
    </row>
    <row r="2056" spans="1:23" x14ac:dyDescent="0.25">
      <c r="A2056">
        <v>1025</v>
      </c>
      <c r="B2056">
        <v>2039</v>
      </c>
      <c r="C2056" t="s">
        <v>302</v>
      </c>
      <c r="D2056" t="s">
        <v>134</v>
      </c>
      <c r="E2056" t="s">
        <v>41</v>
      </c>
      <c r="F2056" t="s">
        <v>3064</v>
      </c>
      <c r="G2056" t="str">
        <f>"00152680"</f>
        <v>00152680</v>
      </c>
      <c r="H2056" t="s">
        <v>1514</v>
      </c>
      <c r="I2056">
        <v>150</v>
      </c>
      <c r="J2056">
        <v>0</v>
      </c>
      <c r="K2056">
        <v>0</v>
      </c>
      <c r="L2056">
        <v>0</v>
      </c>
      <c r="M2056">
        <v>0</v>
      </c>
      <c r="N2056">
        <v>0</v>
      </c>
      <c r="O2056">
        <v>0</v>
      </c>
      <c r="P2056">
        <v>0</v>
      </c>
      <c r="Q2056">
        <v>0</v>
      </c>
      <c r="R2056">
        <v>55</v>
      </c>
      <c r="S2056">
        <v>385</v>
      </c>
      <c r="T2056">
        <v>0</v>
      </c>
      <c r="V2056">
        <v>1</v>
      </c>
      <c r="W2056" t="s">
        <v>3065</v>
      </c>
    </row>
    <row r="2057" spans="1:23" x14ac:dyDescent="0.25">
      <c r="H2057" t="s">
        <v>26</v>
      </c>
    </row>
    <row r="2058" spans="1:23" x14ac:dyDescent="0.25">
      <c r="A2058">
        <v>1026</v>
      </c>
      <c r="B2058">
        <v>765</v>
      </c>
      <c r="C2058" t="s">
        <v>3066</v>
      </c>
      <c r="D2058" t="s">
        <v>392</v>
      </c>
      <c r="E2058" t="s">
        <v>424</v>
      </c>
      <c r="F2058" t="s">
        <v>3067</v>
      </c>
      <c r="G2058" t="str">
        <f>"201406016037"</f>
        <v>201406016037</v>
      </c>
      <c r="H2058" t="s">
        <v>446</v>
      </c>
      <c r="I2058">
        <v>0</v>
      </c>
      <c r="J2058">
        <v>70</v>
      </c>
      <c r="K2058">
        <v>0</v>
      </c>
      <c r="L2058">
        <v>0</v>
      </c>
      <c r="M2058">
        <v>0</v>
      </c>
      <c r="N2058">
        <v>0</v>
      </c>
      <c r="O2058">
        <v>0</v>
      </c>
      <c r="P2058">
        <v>0</v>
      </c>
      <c r="Q2058">
        <v>0</v>
      </c>
      <c r="R2058">
        <v>47</v>
      </c>
      <c r="S2058">
        <v>329</v>
      </c>
      <c r="T2058">
        <v>0</v>
      </c>
      <c r="V2058">
        <v>2</v>
      </c>
      <c r="W2058" t="s">
        <v>3068</v>
      </c>
    </row>
    <row r="2059" spans="1:23" x14ac:dyDescent="0.25">
      <c r="H2059">
        <v>703</v>
      </c>
    </row>
    <row r="2060" spans="1:23" x14ac:dyDescent="0.25">
      <c r="A2060">
        <v>1027</v>
      </c>
      <c r="B2060">
        <v>3025</v>
      </c>
      <c r="C2060" t="s">
        <v>2208</v>
      </c>
      <c r="D2060" t="s">
        <v>1210</v>
      </c>
      <c r="E2060" t="s">
        <v>99</v>
      </c>
      <c r="F2060" t="s">
        <v>3069</v>
      </c>
      <c r="G2060" t="str">
        <f>"00152239"</f>
        <v>00152239</v>
      </c>
      <c r="H2060" t="s">
        <v>3070</v>
      </c>
      <c r="I2060">
        <v>150</v>
      </c>
      <c r="J2060">
        <v>30</v>
      </c>
      <c r="K2060">
        <v>0</v>
      </c>
      <c r="L2060">
        <v>0</v>
      </c>
      <c r="M2060">
        <v>0</v>
      </c>
      <c r="N2060">
        <v>0</v>
      </c>
      <c r="O2060">
        <v>0</v>
      </c>
      <c r="P2060">
        <v>0</v>
      </c>
      <c r="Q2060">
        <v>0</v>
      </c>
      <c r="R2060">
        <v>38</v>
      </c>
      <c r="S2060">
        <v>266</v>
      </c>
      <c r="T2060">
        <v>0</v>
      </c>
      <c r="V2060">
        <v>2</v>
      </c>
      <c r="W2060" t="s">
        <v>3071</v>
      </c>
    </row>
    <row r="2061" spans="1:23" x14ac:dyDescent="0.25">
      <c r="H2061">
        <v>703</v>
      </c>
    </row>
    <row r="2062" spans="1:23" x14ac:dyDescent="0.25">
      <c r="A2062">
        <v>1028</v>
      </c>
      <c r="B2062">
        <v>914</v>
      </c>
      <c r="C2062" t="s">
        <v>3072</v>
      </c>
      <c r="D2062" t="s">
        <v>248</v>
      </c>
      <c r="E2062" t="s">
        <v>99</v>
      </c>
      <c r="F2062" t="s">
        <v>3073</v>
      </c>
      <c r="G2062" t="str">
        <f>"00197724"</f>
        <v>00197724</v>
      </c>
      <c r="H2062" t="s">
        <v>1514</v>
      </c>
      <c r="I2062">
        <v>0</v>
      </c>
      <c r="J2062">
        <v>0</v>
      </c>
      <c r="K2062">
        <v>0</v>
      </c>
      <c r="L2062">
        <v>0</v>
      </c>
      <c r="M2062">
        <v>0</v>
      </c>
      <c r="N2062">
        <v>0</v>
      </c>
      <c r="O2062">
        <v>0</v>
      </c>
      <c r="P2062">
        <v>0</v>
      </c>
      <c r="Q2062">
        <v>0</v>
      </c>
      <c r="R2062">
        <v>76</v>
      </c>
      <c r="S2062">
        <v>532</v>
      </c>
      <c r="T2062">
        <v>0</v>
      </c>
      <c r="V2062">
        <v>0</v>
      </c>
      <c r="W2062" t="s">
        <v>3074</v>
      </c>
    </row>
    <row r="2063" spans="1:23" x14ac:dyDescent="0.25">
      <c r="H2063">
        <v>703</v>
      </c>
    </row>
    <row r="2064" spans="1:23" x14ac:dyDescent="0.25">
      <c r="A2064">
        <v>1029</v>
      </c>
      <c r="B2064">
        <v>1682</v>
      </c>
      <c r="C2064" t="s">
        <v>3075</v>
      </c>
      <c r="D2064" t="s">
        <v>344</v>
      </c>
      <c r="E2064" t="s">
        <v>105</v>
      </c>
      <c r="F2064" t="s">
        <v>3076</v>
      </c>
      <c r="G2064" t="str">
        <f>"00193678"</f>
        <v>00193678</v>
      </c>
      <c r="H2064" t="s">
        <v>840</v>
      </c>
      <c r="I2064">
        <v>0</v>
      </c>
      <c r="J2064">
        <v>70</v>
      </c>
      <c r="K2064">
        <v>70</v>
      </c>
      <c r="L2064">
        <v>0</v>
      </c>
      <c r="M2064">
        <v>0</v>
      </c>
      <c r="N2064">
        <v>30</v>
      </c>
      <c r="O2064">
        <v>0</v>
      </c>
      <c r="P2064">
        <v>0</v>
      </c>
      <c r="Q2064">
        <v>0</v>
      </c>
      <c r="R2064">
        <v>39</v>
      </c>
      <c r="S2064">
        <v>273</v>
      </c>
      <c r="T2064">
        <v>0</v>
      </c>
      <c r="V2064">
        <v>0</v>
      </c>
      <c r="W2064" t="s">
        <v>3077</v>
      </c>
    </row>
    <row r="2065" spans="1:23" x14ac:dyDescent="0.25">
      <c r="H2065" t="s">
        <v>70</v>
      </c>
    </row>
    <row r="2066" spans="1:23" x14ac:dyDescent="0.25">
      <c r="A2066">
        <v>1030</v>
      </c>
      <c r="B2066">
        <v>2589</v>
      </c>
      <c r="C2066" t="s">
        <v>3078</v>
      </c>
      <c r="D2066" t="s">
        <v>344</v>
      </c>
      <c r="E2066" t="s">
        <v>21</v>
      </c>
      <c r="F2066" t="s">
        <v>3079</v>
      </c>
      <c r="G2066" t="str">
        <f>"201406009865"</f>
        <v>201406009865</v>
      </c>
      <c r="H2066">
        <v>825</v>
      </c>
      <c r="I2066">
        <v>150</v>
      </c>
      <c r="J2066">
        <v>50</v>
      </c>
      <c r="K2066">
        <v>0</v>
      </c>
      <c r="L2066">
        <v>0</v>
      </c>
      <c r="M2066">
        <v>0</v>
      </c>
      <c r="N2066">
        <v>0</v>
      </c>
      <c r="O2066">
        <v>0</v>
      </c>
      <c r="P2066">
        <v>0</v>
      </c>
      <c r="Q2066">
        <v>0</v>
      </c>
      <c r="R2066">
        <v>48</v>
      </c>
      <c r="S2066">
        <v>336</v>
      </c>
      <c r="T2066">
        <v>0</v>
      </c>
      <c r="V2066">
        <v>2</v>
      </c>
      <c r="W2066">
        <v>1361</v>
      </c>
    </row>
    <row r="2067" spans="1:23" x14ac:dyDescent="0.25">
      <c r="H2067">
        <v>703</v>
      </c>
    </row>
    <row r="2068" spans="1:23" x14ac:dyDescent="0.25">
      <c r="A2068">
        <v>1031</v>
      </c>
      <c r="B2068">
        <v>1312</v>
      </c>
      <c r="C2068" t="s">
        <v>3080</v>
      </c>
      <c r="D2068" t="s">
        <v>140</v>
      </c>
      <c r="E2068" t="s">
        <v>1818</v>
      </c>
      <c r="F2068" t="s">
        <v>3081</v>
      </c>
      <c r="G2068" t="str">
        <f>"00205865"</f>
        <v>00205865</v>
      </c>
      <c r="H2068">
        <v>1045</v>
      </c>
      <c r="I2068">
        <v>0</v>
      </c>
      <c r="J2068">
        <v>0</v>
      </c>
      <c r="K2068">
        <v>0</v>
      </c>
      <c r="L2068">
        <v>0</v>
      </c>
      <c r="M2068">
        <v>0</v>
      </c>
      <c r="N2068">
        <v>0</v>
      </c>
      <c r="O2068">
        <v>0</v>
      </c>
      <c r="P2068">
        <v>0</v>
      </c>
      <c r="Q2068">
        <v>0</v>
      </c>
      <c r="R2068">
        <v>45</v>
      </c>
      <c r="S2068">
        <v>315</v>
      </c>
      <c r="T2068">
        <v>0</v>
      </c>
      <c r="V2068">
        <v>0</v>
      </c>
      <c r="W2068">
        <v>1360</v>
      </c>
    </row>
    <row r="2069" spans="1:23" x14ac:dyDescent="0.25">
      <c r="H2069">
        <v>703</v>
      </c>
    </row>
    <row r="2070" spans="1:23" x14ac:dyDescent="0.25">
      <c r="A2070">
        <v>1032</v>
      </c>
      <c r="B2070">
        <v>2322</v>
      </c>
      <c r="C2070" t="s">
        <v>3082</v>
      </c>
      <c r="D2070" t="s">
        <v>166</v>
      </c>
      <c r="E2070" t="s">
        <v>91</v>
      </c>
      <c r="F2070" t="s">
        <v>3083</v>
      </c>
      <c r="G2070" t="str">
        <f>"201307000096"</f>
        <v>201307000096</v>
      </c>
      <c r="H2070">
        <v>770</v>
      </c>
      <c r="I2070">
        <v>0</v>
      </c>
      <c r="J2070">
        <v>0</v>
      </c>
      <c r="K2070">
        <v>0</v>
      </c>
      <c r="L2070">
        <v>0</v>
      </c>
      <c r="M2070">
        <v>0</v>
      </c>
      <c r="N2070">
        <v>0</v>
      </c>
      <c r="O2070">
        <v>0</v>
      </c>
      <c r="P2070">
        <v>0</v>
      </c>
      <c r="Q2070">
        <v>0</v>
      </c>
      <c r="R2070">
        <v>84</v>
      </c>
      <c r="S2070">
        <v>588</v>
      </c>
      <c r="T2070">
        <v>0</v>
      </c>
      <c r="V2070">
        <v>0</v>
      </c>
      <c r="W2070">
        <v>1358</v>
      </c>
    </row>
    <row r="2071" spans="1:23" x14ac:dyDescent="0.25">
      <c r="H2071">
        <v>703</v>
      </c>
    </row>
    <row r="2072" spans="1:23" x14ac:dyDescent="0.25">
      <c r="A2072">
        <v>1033</v>
      </c>
      <c r="B2072">
        <v>2042</v>
      </c>
      <c r="C2072" t="s">
        <v>3084</v>
      </c>
      <c r="D2072" t="s">
        <v>3085</v>
      </c>
      <c r="E2072" t="s">
        <v>109</v>
      </c>
      <c r="F2072" t="s">
        <v>3086</v>
      </c>
      <c r="G2072" t="str">
        <f>"00181435"</f>
        <v>00181435</v>
      </c>
      <c r="H2072">
        <v>990</v>
      </c>
      <c r="I2072">
        <v>150</v>
      </c>
      <c r="J2072">
        <v>70</v>
      </c>
      <c r="K2072">
        <v>0</v>
      </c>
      <c r="L2072">
        <v>0</v>
      </c>
      <c r="M2072">
        <v>0</v>
      </c>
      <c r="N2072">
        <v>0</v>
      </c>
      <c r="O2072">
        <v>0</v>
      </c>
      <c r="P2072">
        <v>0</v>
      </c>
      <c r="Q2072">
        <v>0</v>
      </c>
      <c r="R2072">
        <v>21</v>
      </c>
      <c r="S2072">
        <v>147</v>
      </c>
      <c r="T2072">
        <v>0</v>
      </c>
      <c r="V2072">
        <v>0</v>
      </c>
      <c r="W2072">
        <v>1357</v>
      </c>
    </row>
    <row r="2073" spans="1:23" x14ac:dyDescent="0.25">
      <c r="H2073">
        <v>703</v>
      </c>
    </row>
    <row r="2074" spans="1:23" x14ac:dyDescent="0.25">
      <c r="A2074">
        <v>1034</v>
      </c>
      <c r="B2074">
        <v>3098</v>
      </c>
      <c r="C2074" t="s">
        <v>1918</v>
      </c>
      <c r="D2074" t="s">
        <v>722</v>
      </c>
      <c r="E2074" t="s">
        <v>607</v>
      </c>
      <c r="F2074" t="s">
        <v>3087</v>
      </c>
      <c r="G2074" t="str">
        <f>"00002707"</f>
        <v>00002707</v>
      </c>
      <c r="H2074">
        <v>869</v>
      </c>
      <c r="I2074">
        <v>150</v>
      </c>
      <c r="J2074">
        <v>70</v>
      </c>
      <c r="K2074">
        <v>30</v>
      </c>
      <c r="L2074">
        <v>0</v>
      </c>
      <c r="M2074">
        <v>0</v>
      </c>
      <c r="N2074">
        <v>0</v>
      </c>
      <c r="O2074">
        <v>0</v>
      </c>
      <c r="P2074">
        <v>0</v>
      </c>
      <c r="Q2074">
        <v>0</v>
      </c>
      <c r="R2074">
        <v>34</v>
      </c>
      <c r="S2074">
        <v>238</v>
      </c>
      <c r="T2074">
        <v>0</v>
      </c>
      <c r="V2074">
        <v>0</v>
      </c>
      <c r="W2074">
        <v>1357</v>
      </c>
    </row>
    <row r="2075" spans="1:23" x14ac:dyDescent="0.25">
      <c r="H2075" t="s">
        <v>70</v>
      </c>
    </row>
    <row r="2076" spans="1:23" x14ac:dyDescent="0.25">
      <c r="A2076">
        <v>1035</v>
      </c>
      <c r="B2076">
        <v>2709</v>
      </c>
      <c r="C2076" t="s">
        <v>3088</v>
      </c>
      <c r="D2076" t="s">
        <v>273</v>
      </c>
      <c r="E2076" t="s">
        <v>372</v>
      </c>
      <c r="F2076" t="s">
        <v>3089</v>
      </c>
      <c r="G2076" t="str">
        <f>"201511041223"</f>
        <v>201511041223</v>
      </c>
      <c r="H2076" t="s">
        <v>237</v>
      </c>
      <c r="I2076">
        <v>0</v>
      </c>
      <c r="J2076">
        <v>70</v>
      </c>
      <c r="K2076">
        <v>0</v>
      </c>
      <c r="L2076">
        <v>0</v>
      </c>
      <c r="M2076">
        <v>0</v>
      </c>
      <c r="N2076">
        <v>0</v>
      </c>
      <c r="O2076">
        <v>0</v>
      </c>
      <c r="P2076">
        <v>0</v>
      </c>
      <c r="Q2076">
        <v>0</v>
      </c>
      <c r="R2076">
        <v>40</v>
      </c>
      <c r="S2076">
        <v>280</v>
      </c>
      <c r="T2076">
        <v>0</v>
      </c>
      <c r="V2076">
        <v>0</v>
      </c>
      <c r="W2076" t="s">
        <v>3090</v>
      </c>
    </row>
    <row r="2077" spans="1:23" x14ac:dyDescent="0.25">
      <c r="H2077">
        <v>703</v>
      </c>
    </row>
    <row r="2078" spans="1:23" x14ac:dyDescent="0.25">
      <c r="A2078">
        <v>1036</v>
      </c>
      <c r="B2078">
        <v>2079</v>
      </c>
      <c r="C2078" t="s">
        <v>3091</v>
      </c>
      <c r="D2078" t="s">
        <v>3092</v>
      </c>
      <c r="E2078" t="s">
        <v>468</v>
      </c>
      <c r="F2078" t="s">
        <v>3093</v>
      </c>
      <c r="G2078" t="str">
        <f>"200802009218"</f>
        <v>200802009218</v>
      </c>
      <c r="H2078">
        <v>935</v>
      </c>
      <c r="I2078">
        <v>0</v>
      </c>
      <c r="J2078">
        <v>70</v>
      </c>
      <c r="K2078">
        <v>0</v>
      </c>
      <c r="L2078">
        <v>50</v>
      </c>
      <c r="M2078">
        <v>0</v>
      </c>
      <c r="N2078">
        <v>0</v>
      </c>
      <c r="O2078">
        <v>0</v>
      </c>
      <c r="P2078">
        <v>0</v>
      </c>
      <c r="Q2078">
        <v>0</v>
      </c>
      <c r="R2078">
        <v>43</v>
      </c>
      <c r="S2078">
        <v>301</v>
      </c>
      <c r="T2078">
        <v>0</v>
      </c>
      <c r="V2078">
        <v>0</v>
      </c>
      <c r="W2078">
        <v>1356</v>
      </c>
    </row>
    <row r="2079" spans="1:23" x14ac:dyDescent="0.25">
      <c r="H2079" t="s">
        <v>70</v>
      </c>
    </row>
    <row r="2080" spans="1:23" x14ac:dyDescent="0.25">
      <c r="A2080">
        <v>1037</v>
      </c>
      <c r="B2080">
        <v>410</v>
      </c>
      <c r="C2080" t="s">
        <v>3094</v>
      </c>
      <c r="D2080" t="s">
        <v>3095</v>
      </c>
      <c r="E2080" t="s">
        <v>15</v>
      </c>
      <c r="F2080" t="s">
        <v>3096</v>
      </c>
      <c r="G2080" t="str">
        <f>"00228810"</f>
        <v>00228810</v>
      </c>
      <c r="H2080" t="s">
        <v>1503</v>
      </c>
      <c r="I2080">
        <v>0</v>
      </c>
      <c r="J2080">
        <v>30</v>
      </c>
      <c r="K2080">
        <v>0</v>
      </c>
      <c r="L2080">
        <v>0</v>
      </c>
      <c r="M2080">
        <v>0</v>
      </c>
      <c r="N2080">
        <v>0</v>
      </c>
      <c r="O2080">
        <v>0</v>
      </c>
      <c r="P2080">
        <v>0</v>
      </c>
      <c r="Q2080">
        <v>0</v>
      </c>
      <c r="R2080">
        <v>46</v>
      </c>
      <c r="S2080">
        <v>322</v>
      </c>
      <c r="T2080">
        <v>0</v>
      </c>
      <c r="V2080">
        <v>2</v>
      </c>
      <c r="W2080" t="s">
        <v>3097</v>
      </c>
    </row>
    <row r="2081" spans="1:23" x14ac:dyDescent="0.25">
      <c r="H2081">
        <v>703</v>
      </c>
    </row>
    <row r="2082" spans="1:23" x14ac:dyDescent="0.25">
      <c r="A2082">
        <v>1038</v>
      </c>
      <c r="B2082">
        <v>446</v>
      </c>
      <c r="C2082" t="s">
        <v>3098</v>
      </c>
      <c r="D2082" t="s">
        <v>3099</v>
      </c>
      <c r="E2082" t="s">
        <v>113</v>
      </c>
      <c r="F2082" t="s">
        <v>3100</v>
      </c>
      <c r="G2082" t="str">
        <f>"201406012040"</f>
        <v>201406012040</v>
      </c>
      <c r="H2082" t="s">
        <v>202</v>
      </c>
      <c r="I2082">
        <v>150</v>
      </c>
      <c r="J2082">
        <v>30</v>
      </c>
      <c r="K2082">
        <v>0</v>
      </c>
      <c r="L2082">
        <v>0</v>
      </c>
      <c r="M2082">
        <v>0</v>
      </c>
      <c r="N2082">
        <v>0</v>
      </c>
      <c r="O2082">
        <v>0</v>
      </c>
      <c r="P2082">
        <v>0</v>
      </c>
      <c r="Q2082">
        <v>0</v>
      </c>
      <c r="R2082">
        <v>27</v>
      </c>
      <c r="S2082">
        <v>189</v>
      </c>
      <c r="T2082">
        <v>0</v>
      </c>
      <c r="V2082">
        <v>0</v>
      </c>
      <c r="W2082" t="s">
        <v>3101</v>
      </c>
    </row>
    <row r="2083" spans="1:23" x14ac:dyDescent="0.25">
      <c r="H2083">
        <v>703</v>
      </c>
    </row>
    <row r="2084" spans="1:23" x14ac:dyDescent="0.25">
      <c r="A2084">
        <v>1039</v>
      </c>
      <c r="B2084">
        <v>784</v>
      </c>
      <c r="C2084" t="s">
        <v>450</v>
      </c>
      <c r="D2084" t="s">
        <v>273</v>
      </c>
      <c r="E2084" t="s">
        <v>3102</v>
      </c>
      <c r="F2084" t="s">
        <v>3103</v>
      </c>
      <c r="G2084" t="str">
        <f>"201406002306"</f>
        <v>201406002306</v>
      </c>
      <c r="H2084" t="s">
        <v>3104</v>
      </c>
      <c r="I2084">
        <v>0</v>
      </c>
      <c r="J2084">
        <v>30</v>
      </c>
      <c r="K2084">
        <v>0</v>
      </c>
      <c r="L2084">
        <v>0</v>
      </c>
      <c r="M2084">
        <v>0</v>
      </c>
      <c r="N2084">
        <v>0</v>
      </c>
      <c r="O2084">
        <v>0</v>
      </c>
      <c r="P2084">
        <v>0</v>
      </c>
      <c r="Q2084">
        <v>0</v>
      </c>
      <c r="R2084">
        <v>84</v>
      </c>
      <c r="S2084">
        <v>588</v>
      </c>
      <c r="T2084">
        <v>0</v>
      </c>
      <c r="V2084">
        <v>2</v>
      </c>
      <c r="W2084" t="s">
        <v>3105</v>
      </c>
    </row>
    <row r="2085" spans="1:23" x14ac:dyDescent="0.25">
      <c r="H2085">
        <v>703</v>
      </c>
    </row>
    <row r="2086" spans="1:23" x14ac:dyDescent="0.25">
      <c r="A2086">
        <v>1040</v>
      </c>
      <c r="B2086">
        <v>2978</v>
      </c>
      <c r="C2086" t="s">
        <v>3106</v>
      </c>
      <c r="D2086" t="s">
        <v>67</v>
      </c>
      <c r="E2086" t="s">
        <v>303</v>
      </c>
      <c r="F2086" t="s">
        <v>3107</v>
      </c>
      <c r="G2086" t="str">
        <f>"00037480"</f>
        <v>00037480</v>
      </c>
      <c r="H2086" t="s">
        <v>3108</v>
      </c>
      <c r="I2086">
        <v>0</v>
      </c>
      <c r="J2086">
        <v>0</v>
      </c>
      <c r="K2086">
        <v>0</v>
      </c>
      <c r="L2086">
        <v>0</v>
      </c>
      <c r="M2086">
        <v>0</v>
      </c>
      <c r="N2086">
        <v>0</v>
      </c>
      <c r="O2086">
        <v>0</v>
      </c>
      <c r="P2086">
        <v>0</v>
      </c>
      <c r="Q2086">
        <v>0</v>
      </c>
      <c r="R2086">
        <v>84</v>
      </c>
      <c r="S2086">
        <v>588</v>
      </c>
      <c r="T2086">
        <v>0</v>
      </c>
      <c r="V2086">
        <v>0</v>
      </c>
      <c r="W2086" t="s">
        <v>3109</v>
      </c>
    </row>
    <row r="2087" spans="1:23" x14ac:dyDescent="0.25">
      <c r="H2087">
        <v>703</v>
      </c>
    </row>
    <row r="2088" spans="1:23" x14ac:dyDescent="0.25">
      <c r="A2088">
        <v>1041</v>
      </c>
      <c r="B2088">
        <v>584</v>
      </c>
      <c r="C2088" t="s">
        <v>3110</v>
      </c>
      <c r="D2088" t="s">
        <v>3111</v>
      </c>
      <c r="E2088" t="s">
        <v>91</v>
      </c>
      <c r="F2088" t="s">
        <v>3112</v>
      </c>
      <c r="G2088" t="str">
        <f>"201406003216"</f>
        <v>201406003216</v>
      </c>
      <c r="H2088" t="s">
        <v>800</v>
      </c>
      <c r="I2088">
        <v>0</v>
      </c>
      <c r="J2088">
        <v>30</v>
      </c>
      <c r="K2088">
        <v>0</v>
      </c>
      <c r="L2088">
        <v>0</v>
      </c>
      <c r="M2088">
        <v>0</v>
      </c>
      <c r="N2088">
        <v>0</v>
      </c>
      <c r="O2088">
        <v>0</v>
      </c>
      <c r="P2088">
        <v>0</v>
      </c>
      <c r="Q2088">
        <v>0</v>
      </c>
      <c r="R2088">
        <v>61</v>
      </c>
      <c r="S2088">
        <v>427</v>
      </c>
      <c r="T2088">
        <v>0</v>
      </c>
      <c r="V2088">
        <v>0</v>
      </c>
      <c r="W2088" t="s">
        <v>3113</v>
      </c>
    </row>
    <row r="2089" spans="1:23" x14ac:dyDescent="0.25">
      <c r="H2089">
        <v>703</v>
      </c>
    </row>
    <row r="2090" spans="1:23" x14ac:dyDescent="0.25">
      <c r="A2090">
        <v>1042</v>
      </c>
      <c r="B2090">
        <v>95</v>
      </c>
      <c r="C2090" t="s">
        <v>3114</v>
      </c>
      <c r="D2090" t="s">
        <v>414</v>
      </c>
      <c r="E2090" t="s">
        <v>99</v>
      </c>
      <c r="F2090" t="s">
        <v>3115</v>
      </c>
      <c r="G2090" t="str">
        <f>"201511018142"</f>
        <v>201511018142</v>
      </c>
      <c r="H2090">
        <v>1100</v>
      </c>
      <c r="I2090">
        <v>150</v>
      </c>
      <c r="J2090">
        <v>70</v>
      </c>
      <c r="K2090">
        <v>0</v>
      </c>
      <c r="L2090">
        <v>0</v>
      </c>
      <c r="M2090">
        <v>30</v>
      </c>
      <c r="N2090">
        <v>0</v>
      </c>
      <c r="O2090">
        <v>0</v>
      </c>
      <c r="P2090">
        <v>0</v>
      </c>
      <c r="Q2090">
        <v>0</v>
      </c>
      <c r="R2090">
        <v>0</v>
      </c>
      <c r="S2090">
        <v>0</v>
      </c>
      <c r="T2090">
        <v>0</v>
      </c>
      <c r="V2090">
        <v>0</v>
      </c>
      <c r="W2090">
        <v>1350</v>
      </c>
    </row>
    <row r="2091" spans="1:23" x14ac:dyDescent="0.25">
      <c r="H2091" t="s">
        <v>70</v>
      </c>
    </row>
    <row r="2092" spans="1:23" x14ac:dyDescent="0.25">
      <c r="A2092">
        <v>1043</v>
      </c>
      <c r="B2092">
        <v>1341</v>
      </c>
      <c r="C2092" t="s">
        <v>3116</v>
      </c>
      <c r="D2092" t="s">
        <v>20</v>
      </c>
      <c r="E2092" t="s">
        <v>91</v>
      </c>
      <c r="F2092" t="s">
        <v>3117</v>
      </c>
      <c r="G2092" t="str">
        <f>"00151194"</f>
        <v>00151194</v>
      </c>
      <c r="H2092">
        <v>1100</v>
      </c>
      <c r="I2092">
        <v>150</v>
      </c>
      <c r="J2092">
        <v>70</v>
      </c>
      <c r="K2092">
        <v>30</v>
      </c>
      <c r="L2092">
        <v>0</v>
      </c>
      <c r="M2092">
        <v>0</v>
      </c>
      <c r="N2092">
        <v>0</v>
      </c>
      <c r="O2092">
        <v>0</v>
      </c>
      <c r="P2092">
        <v>0</v>
      </c>
      <c r="Q2092">
        <v>0</v>
      </c>
      <c r="R2092">
        <v>0</v>
      </c>
      <c r="S2092">
        <v>0</v>
      </c>
      <c r="T2092">
        <v>0</v>
      </c>
      <c r="V2092">
        <v>0</v>
      </c>
      <c r="W2092">
        <v>1350</v>
      </c>
    </row>
    <row r="2093" spans="1:23" x14ac:dyDescent="0.25">
      <c r="H2093" t="s">
        <v>26</v>
      </c>
    </row>
    <row r="2094" spans="1:23" x14ac:dyDescent="0.25">
      <c r="A2094">
        <v>1044</v>
      </c>
      <c r="B2094">
        <v>3163</v>
      </c>
      <c r="C2094" t="s">
        <v>3118</v>
      </c>
      <c r="D2094" t="s">
        <v>873</v>
      </c>
      <c r="E2094" t="s">
        <v>105</v>
      </c>
      <c r="F2094" t="s">
        <v>3119</v>
      </c>
      <c r="G2094" t="str">
        <f>"201409001789"</f>
        <v>201409001789</v>
      </c>
      <c r="H2094" t="s">
        <v>1591</v>
      </c>
      <c r="I2094">
        <v>0</v>
      </c>
      <c r="J2094">
        <v>70</v>
      </c>
      <c r="K2094">
        <v>0</v>
      </c>
      <c r="L2094">
        <v>30</v>
      </c>
      <c r="M2094">
        <v>0</v>
      </c>
      <c r="N2094">
        <v>0</v>
      </c>
      <c r="O2094">
        <v>0</v>
      </c>
      <c r="P2094">
        <v>0</v>
      </c>
      <c r="Q2094">
        <v>0</v>
      </c>
      <c r="R2094">
        <v>25</v>
      </c>
      <c r="S2094">
        <v>175</v>
      </c>
      <c r="T2094">
        <v>0</v>
      </c>
      <c r="V2094">
        <v>0</v>
      </c>
      <c r="W2094" t="s">
        <v>3120</v>
      </c>
    </row>
    <row r="2095" spans="1:23" x14ac:dyDescent="0.25">
      <c r="H2095" t="s">
        <v>26</v>
      </c>
    </row>
    <row r="2096" spans="1:23" x14ac:dyDescent="0.25">
      <c r="A2096">
        <v>1045</v>
      </c>
      <c r="B2096">
        <v>2015</v>
      </c>
      <c r="C2096" t="s">
        <v>3121</v>
      </c>
      <c r="D2096" t="s">
        <v>3122</v>
      </c>
      <c r="E2096" t="s">
        <v>424</v>
      </c>
      <c r="F2096" t="s">
        <v>3123</v>
      </c>
      <c r="G2096" t="str">
        <f>"200811000705"</f>
        <v>200811000705</v>
      </c>
      <c r="H2096" t="s">
        <v>909</v>
      </c>
      <c r="I2096">
        <v>150</v>
      </c>
      <c r="J2096">
        <v>50</v>
      </c>
      <c r="K2096">
        <v>70</v>
      </c>
      <c r="L2096">
        <v>0</v>
      </c>
      <c r="M2096">
        <v>0</v>
      </c>
      <c r="N2096">
        <v>0</v>
      </c>
      <c r="O2096">
        <v>0</v>
      </c>
      <c r="P2096">
        <v>0</v>
      </c>
      <c r="Q2096">
        <v>0</v>
      </c>
      <c r="R2096">
        <v>0</v>
      </c>
      <c r="S2096">
        <v>0</v>
      </c>
      <c r="T2096">
        <v>0</v>
      </c>
      <c r="V2096">
        <v>0</v>
      </c>
      <c r="W2096" t="s">
        <v>3124</v>
      </c>
    </row>
    <row r="2097" spans="1:23" x14ac:dyDescent="0.25">
      <c r="H2097" t="s">
        <v>70</v>
      </c>
    </row>
    <row r="2098" spans="1:23" x14ac:dyDescent="0.25">
      <c r="A2098">
        <v>1046</v>
      </c>
      <c r="B2098">
        <v>507</v>
      </c>
      <c r="C2098" t="s">
        <v>3125</v>
      </c>
      <c r="D2098" t="s">
        <v>2604</v>
      </c>
      <c r="E2098" t="s">
        <v>15</v>
      </c>
      <c r="F2098" t="s">
        <v>3126</v>
      </c>
      <c r="G2098" t="str">
        <f>"201410002899"</f>
        <v>201410002899</v>
      </c>
      <c r="H2098">
        <v>814</v>
      </c>
      <c r="I2098">
        <v>150</v>
      </c>
      <c r="J2098">
        <v>70</v>
      </c>
      <c r="K2098">
        <v>0</v>
      </c>
      <c r="L2098">
        <v>0</v>
      </c>
      <c r="M2098">
        <v>0</v>
      </c>
      <c r="N2098">
        <v>0</v>
      </c>
      <c r="O2098">
        <v>0</v>
      </c>
      <c r="P2098">
        <v>0</v>
      </c>
      <c r="Q2098">
        <v>0</v>
      </c>
      <c r="R2098">
        <v>45</v>
      </c>
      <c r="S2098">
        <v>315</v>
      </c>
      <c r="T2098">
        <v>0</v>
      </c>
      <c r="V2098">
        <v>2</v>
      </c>
      <c r="W2098">
        <v>1349</v>
      </c>
    </row>
    <row r="2099" spans="1:23" x14ac:dyDescent="0.25">
      <c r="H2099" t="s">
        <v>26</v>
      </c>
    </row>
    <row r="2100" spans="1:23" x14ac:dyDescent="0.25">
      <c r="A2100">
        <v>1047</v>
      </c>
      <c r="B2100">
        <v>394</v>
      </c>
      <c r="C2100" t="s">
        <v>3127</v>
      </c>
      <c r="D2100" t="s">
        <v>32</v>
      </c>
      <c r="E2100" t="s">
        <v>99</v>
      </c>
      <c r="F2100" t="s">
        <v>3128</v>
      </c>
      <c r="G2100" t="str">
        <f>"200804000707"</f>
        <v>200804000707</v>
      </c>
      <c r="H2100" t="s">
        <v>2235</v>
      </c>
      <c r="I2100">
        <v>150</v>
      </c>
      <c r="J2100">
        <v>70</v>
      </c>
      <c r="K2100">
        <v>0</v>
      </c>
      <c r="L2100">
        <v>0</v>
      </c>
      <c r="M2100">
        <v>0</v>
      </c>
      <c r="N2100">
        <v>0</v>
      </c>
      <c r="O2100">
        <v>0</v>
      </c>
      <c r="P2100">
        <v>0</v>
      </c>
      <c r="Q2100">
        <v>0</v>
      </c>
      <c r="R2100">
        <v>41</v>
      </c>
      <c r="S2100">
        <v>287</v>
      </c>
      <c r="T2100">
        <v>0</v>
      </c>
      <c r="V2100">
        <v>0</v>
      </c>
      <c r="W2100" t="s">
        <v>3129</v>
      </c>
    </row>
    <row r="2101" spans="1:23" x14ac:dyDescent="0.25">
      <c r="H2101">
        <v>703</v>
      </c>
    </row>
    <row r="2102" spans="1:23" x14ac:dyDescent="0.25">
      <c r="A2102">
        <v>1048</v>
      </c>
      <c r="B2102">
        <v>3165</v>
      </c>
      <c r="C2102" t="s">
        <v>3130</v>
      </c>
      <c r="D2102" t="s">
        <v>3131</v>
      </c>
      <c r="E2102" t="s">
        <v>3132</v>
      </c>
      <c r="F2102" t="s">
        <v>3133</v>
      </c>
      <c r="G2102" t="str">
        <f>"201412003556"</f>
        <v>201412003556</v>
      </c>
      <c r="H2102">
        <v>660</v>
      </c>
      <c r="I2102">
        <v>0</v>
      </c>
      <c r="J2102">
        <v>30</v>
      </c>
      <c r="K2102">
        <v>70</v>
      </c>
      <c r="L2102">
        <v>0</v>
      </c>
      <c r="M2102">
        <v>0</v>
      </c>
      <c r="N2102">
        <v>0</v>
      </c>
      <c r="O2102">
        <v>0</v>
      </c>
      <c r="P2102">
        <v>0</v>
      </c>
      <c r="Q2102">
        <v>0</v>
      </c>
      <c r="R2102">
        <v>84</v>
      </c>
      <c r="S2102">
        <v>588</v>
      </c>
      <c r="T2102">
        <v>0</v>
      </c>
      <c r="V2102">
        <v>1</v>
      </c>
      <c r="W2102">
        <v>1348</v>
      </c>
    </row>
    <row r="2103" spans="1:23" x14ac:dyDescent="0.25">
      <c r="H2103" t="s">
        <v>26</v>
      </c>
    </row>
    <row r="2104" spans="1:23" x14ac:dyDescent="0.25">
      <c r="A2104">
        <v>1049</v>
      </c>
      <c r="B2104">
        <v>1783</v>
      </c>
      <c r="C2104" t="s">
        <v>3134</v>
      </c>
      <c r="D2104" t="s">
        <v>3135</v>
      </c>
      <c r="E2104" t="s">
        <v>91</v>
      </c>
      <c r="F2104" t="s">
        <v>3136</v>
      </c>
      <c r="G2104" t="str">
        <f>"200802004735"</f>
        <v>200802004735</v>
      </c>
      <c r="H2104" t="s">
        <v>2785</v>
      </c>
      <c r="I2104">
        <v>0</v>
      </c>
      <c r="J2104">
        <v>70</v>
      </c>
      <c r="K2104">
        <v>0</v>
      </c>
      <c r="L2104">
        <v>0</v>
      </c>
      <c r="M2104">
        <v>0</v>
      </c>
      <c r="N2104">
        <v>30</v>
      </c>
      <c r="O2104">
        <v>0</v>
      </c>
      <c r="P2104">
        <v>0</v>
      </c>
      <c r="Q2104">
        <v>0</v>
      </c>
      <c r="R2104">
        <v>64</v>
      </c>
      <c r="S2104">
        <v>448</v>
      </c>
      <c r="T2104">
        <v>0</v>
      </c>
      <c r="V2104">
        <v>0</v>
      </c>
      <c r="W2104" t="s">
        <v>3137</v>
      </c>
    </row>
    <row r="2105" spans="1:23" x14ac:dyDescent="0.25">
      <c r="H2105" t="s">
        <v>70</v>
      </c>
    </row>
    <row r="2106" spans="1:23" x14ac:dyDescent="0.25">
      <c r="A2106">
        <v>1050</v>
      </c>
      <c r="B2106">
        <v>1390</v>
      </c>
      <c r="C2106" t="s">
        <v>1313</v>
      </c>
      <c r="D2106" t="s">
        <v>155</v>
      </c>
      <c r="E2106" t="s">
        <v>91</v>
      </c>
      <c r="F2106" t="s">
        <v>3138</v>
      </c>
      <c r="G2106" t="str">
        <f>"201511032631"</f>
        <v>201511032631</v>
      </c>
      <c r="H2106" t="s">
        <v>2282</v>
      </c>
      <c r="I2106">
        <v>150</v>
      </c>
      <c r="J2106">
        <v>50</v>
      </c>
      <c r="K2106">
        <v>0</v>
      </c>
      <c r="L2106">
        <v>0</v>
      </c>
      <c r="M2106">
        <v>0</v>
      </c>
      <c r="N2106">
        <v>0</v>
      </c>
      <c r="O2106">
        <v>0</v>
      </c>
      <c r="P2106">
        <v>0</v>
      </c>
      <c r="Q2106">
        <v>0</v>
      </c>
      <c r="R2106">
        <v>31</v>
      </c>
      <c r="S2106">
        <v>217</v>
      </c>
      <c r="T2106">
        <v>0</v>
      </c>
      <c r="V2106">
        <v>0</v>
      </c>
      <c r="W2106" t="s">
        <v>3139</v>
      </c>
    </row>
    <row r="2107" spans="1:23" x14ac:dyDescent="0.25">
      <c r="H2107" t="s">
        <v>2316</v>
      </c>
    </row>
    <row r="2108" spans="1:23" x14ac:dyDescent="0.25">
      <c r="A2108">
        <v>1051</v>
      </c>
      <c r="B2108">
        <v>1128</v>
      </c>
      <c r="C2108" t="s">
        <v>3140</v>
      </c>
      <c r="D2108" t="s">
        <v>76</v>
      </c>
      <c r="E2108" t="s">
        <v>3141</v>
      </c>
      <c r="F2108" t="s">
        <v>3142</v>
      </c>
      <c r="G2108" t="str">
        <f>"00103549"</f>
        <v>00103549</v>
      </c>
      <c r="H2108" t="s">
        <v>982</v>
      </c>
      <c r="I2108">
        <v>0</v>
      </c>
      <c r="J2108">
        <v>0</v>
      </c>
      <c r="K2108">
        <v>0</v>
      </c>
      <c r="L2108">
        <v>0</v>
      </c>
      <c r="M2108">
        <v>30</v>
      </c>
      <c r="N2108">
        <v>0</v>
      </c>
      <c r="O2108">
        <v>0</v>
      </c>
      <c r="P2108">
        <v>0</v>
      </c>
      <c r="Q2108">
        <v>0</v>
      </c>
      <c r="R2108">
        <v>60</v>
      </c>
      <c r="S2108">
        <v>420</v>
      </c>
      <c r="T2108">
        <v>0</v>
      </c>
      <c r="V2108">
        <v>0</v>
      </c>
      <c r="W2108" t="s">
        <v>3139</v>
      </c>
    </row>
    <row r="2109" spans="1:23" x14ac:dyDescent="0.25">
      <c r="H2109">
        <v>703</v>
      </c>
    </row>
    <row r="2110" spans="1:23" x14ac:dyDescent="0.25">
      <c r="A2110">
        <v>1052</v>
      </c>
      <c r="B2110">
        <v>2250</v>
      </c>
      <c r="C2110" t="s">
        <v>3143</v>
      </c>
      <c r="D2110" t="s">
        <v>302</v>
      </c>
      <c r="E2110" t="s">
        <v>414</v>
      </c>
      <c r="F2110" t="s">
        <v>3144</v>
      </c>
      <c r="G2110" t="str">
        <f>"00186893"</f>
        <v>00186893</v>
      </c>
      <c r="H2110">
        <v>759</v>
      </c>
      <c r="I2110">
        <v>0</v>
      </c>
      <c r="J2110">
        <v>0</v>
      </c>
      <c r="K2110">
        <v>0</v>
      </c>
      <c r="L2110">
        <v>0</v>
      </c>
      <c r="M2110">
        <v>0</v>
      </c>
      <c r="N2110">
        <v>0</v>
      </c>
      <c r="O2110">
        <v>0</v>
      </c>
      <c r="P2110">
        <v>0</v>
      </c>
      <c r="Q2110">
        <v>0</v>
      </c>
      <c r="R2110">
        <v>84</v>
      </c>
      <c r="S2110">
        <v>588</v>
      </c>
      <c r="T2110">
        <v>0</v>
      </c>
      <c r="V2110">
        <v>0</v>
      </c>
      <c r="W2110">
        <v>1347</v>
      </c>
    </row>
    <row r="2111" spans="1:23" x14ac:dyDescent="0.25">
      <c r="H2111">
        <v>703</v>
      </c>
    </row>
    <row r="2112" spans="1:23" x14ac:dyDescent="0.25">
      <c r="A2112">
        <v>1053</v>
      </c>
      <c r="B2112">
        <v>1328</v>
      </c>
      <c r="C2112" t="s">
        <v>3145</v>
      </c>
      <c r="D2112" t="s">
        <v>302</v>
      </c>
      <c r="E2112" t="s">
        <v>3146</v>
      </c>
      <c r="F2112" t="s">
        <v>3147</v>
      </c>
      <c r="G2112" t="str">
        <f>"201511005548"</f>
        <v>201511005548</v>
      </c>
      <c r="H2112">
        <v>759</v>
      </c>
      <c r="I2112">
        <v>0</v>
      </c>
      <c r="J2112">
        <v>0</v>
      </c>
      <c r="K2112">
        <v>0</v>
      </c>
      <c r="L2112">
        <v>0</v>
      </c>
      <c r="M2112">
        <v>0</v>
      </c>
      <c r="N2112">
        <v>0</v>
      </c>
      <c r="O2112">
        <v>0</v>
      </c>
      <c r="P2112">
        <v>0</v>
      </c>
      <c r="Q2112">
        <v>0</v>
      </c>
      <c r="R2112">
        <v>84</v>
      </c>
      <c r="S2112">
        <v>588</v>
      </c>
      <c r="T2112">
        <v>0</v>
      </c>
      <c r="V2112">
        <v>0</v>
      </c>
      <c r="W2112">
        <v>1347</v>
      </c>
    </row>
    <row r="2113" spans="1:23" x14ac:dyDescent="0.25">
      <c r="H2113">
        <v>703</v>
      </c>
    </row>
    <row r="2114" spans="1:23" x14ac:dyDescent="0.25">
      <c r="A2114">
        <v>1054</v>
      </c>
      <c r="B2114">
        <v>1008</v>
      </c>
      <c r="C2114" t="s">
        <v>794</v>
      </c>
      <c r="D2114" t="s">
        <v>226</v>
      </c>
      <c r="E2114" t="s">
        <v>76</v>
      </c>
      <c r="F2114" t="s">
        <v>3148</v>
      </c>
      <c r="G2114" t="str">
        <f>"201511037439"</f>
        <v>201511037439</v>
      </c>
      <c r="H2114" t="s">
        <v>3149</v>
      </c>
      <c r="I2114">
        <v>0</v>
      </c>
      <c r="J2114">
        <v>30</v>
      </c>
      <c r="K2114">
        <v>0</v>
      </c>
      <c r="L2114">
        <v>0</v>
      </c>
      <c r="M2114">
        <v>0</v>
      </c>
      <c r="N2114">
        <v>0</v>
      </c>
      <c r="O2114">
        <v>0</v>
      </c>
      <c r="P2114">
        <v>0</v>
      </c>
      <c r="Q2114">
        <v>0</v>
      </c>
      <c r="R2114">
        <v>79</v>
      </c>
      <c r="S2114">
        <v>553</v>
      </c>
      <c r="T2114">
        <v>0</v>
      </c>
      <c r="V2114">
        <v>2</v>
      </c>
      <c r="W2114" t="s">
        <v>3150</v>
      </c>
    </row>
    <row r="2115" spans="1:23" x14ac:dyDescent="0.25">
      <c r="H2115">
        <v>703</v>
      </c>
    </row>
    <row r="2116" spans="1:23" x14ac:dyDescent="0.25">
      <c r="A2116">
        <v>1055</v>
      </c>
      <c r="B2116">
        <v>427</v>
      </c>
      <c r="C2116" t="s">
        <v>3151</v>
      </c>
      <c r="D2116" t="s">
        <v>58</v>
      </c>
      <c r="E2116" t="s">
        <v>1147</v>
      </c>
      <c r="F2116" t="s">
        <v>3152</v>
      </c>
      <c r="G2116" t="str">
        <f>"00229833"</f>
        <v>00229833</v>
      </c>
      <c r="H2116" t="s">
        <v>1212</v>
      </c>
      <c r="I2116">
        <v>0</v>
      </c>
      <c r="J2116">
        <v>50</v>
      </c>
      <c r="K2116">
        <v>0</v>
      </c>
      <c r="L2116">
        <v>0</v>
      </c>
      <c r="M2116">
        <v>0</v>
      </c>
      <c r="N2116">
        <v>0</v>
      </c>
      <c r="O2116">
        <v>0</v>
      </c>
      <c r="P2116">
        <v>0</v>
      </c>
      <c r="Q2116">
        <v>0</v>
      </c>
      <c r="R2116">
        <v>68</v>
      </c>
      <c r="S2116">
        <v>476</v>
      </c>
      <c r="T2116">
        <v>0</v>
      </c>
      <c r="V2116">
        <v>0</v>
      </c>
      <c r="W2116" t="s">
        <v>3153</v>
      </c>
    </row>
    <row r="2117" spans="1:23" x14ac:dyDescent="0.25">
      <c r="H2117">
        <v>703</v>
      </c>
    </row>
    <row r="2118" spans="1:23" x14ac:dyDescent="0.25">
      <c r="A2118">
        <v>1056</v>
      </c>
      <c r="B2118">
        <v>1578</v>
      </c>
      <c r="C2118" t="s">
        <v>3154</v>
      </c>
      <c r="D2118" t="s">
        <v>2330</v>
      </c>
      <c r="E2118" t="s">
        <v>91</v>
      </c>
      <c r="F2118" t="s">
        <v>3155</v>
      </c>
      <c r="G2118" t="str">
        <f>"201511013144"</f>
        <v>201511013144</v>
      </c>
      <c r="H2118" t="s">
        <v>3156</v>
      </c>
      <c r="I2118">
        <v>0</v>
      </c>
      <c r="J2118">
        <v>0</v>
      </c>
      <c r="K2118">
        <v>0</v>
      </c>
      <c r="L2118">
        <v>0</v>
      </c>
      <c r="M2118">
        <v>0</v>
      </c>
      <c r="N2118">
        <v>0</v>
      </c>
      <c r="O2118">
        <v>0</v>
      </c>
      <c r="P2118">
        <v>0</v>
      </c>
      <c r="Q2118">
        <v>0</v>
      </c>
      <c r="R2118">
        <v>84</v>
      </c>
      <c r="S2118">
        <v>588</v>
      </c>
      <c r="T2118">
        <v>0</v>
      </c>
      <c r="V2118">
        <v>0</v>
      </c>
      <c r="W2118" t="s">
        <v>3157</v>
      </c>
    </row>
    <row r="2119" spans="1:23" x14ac:dyDescent="0.25">
      <c r="H2119">
        <v>703</v>
      </c>
    </row>
    <row r="2120" spans="1:23" x14ac:dyDescent="0.25">
      <c r="A2120">
        <v>1057</v>
      </c>
      <c r="B2120">
        <v>303</v>
      </c>
      <c r="C2120" t="s">
        <v>3158</v>
      </c>
      <c r="D2120" t="s">
        <v>273</v>
      </c>
      <c r="E2120" t="s">
        <v>113</v>
      </c>
      <c r="F2120" t="s">
        <v>3159</v>
      </c>
      <c r="G2120" t="str">
        <f>"201406000912"</f>
        <v>201406000912</v>
      </c>
      <c r="H2120" t="s">
        <v>363</v>
      </c>
      <c r="I2120">
        <v>0</v>
      </c>
      <c r="J2120">
        <v>0</v>
      </c>
      <c r="K2120">
        <v>0</v>
      </c>
      <c r="L2120">
        <v>0</v>
      </c>
      <c r="M2120">
        <v>0</v>
      </c>
      <c r="N2120">
        <v>0</v>
      </c>
      <c r="O2120">
        <v>0</v>
      </c>
      <c r="P2120">
        <v>0</v>
      </c>
      <c r="Q2120">
        <v>0</v>
      </c>
      <c r="R2120">
        <v>50</v>
      </c>
      <c r="S2120">
        <v>350</v>
      </c>
      <c r="T2120">
        <v>0</v>
      </c>
      <c r="V2120">
        <v>2</v>
      </c>
      <c r="W2120" t="s">
        <v>3160</v>
      </c>
    </row>
    <row r="2121" spans="1:23" x14ac:dyDescent="0.25">
      <c r="H2121">
        <v>703</v>
      </c>
    </row>
    <row r="2122" spans="1:23" x14ac:dyDescent="0.25">
      <c r="A2122">
        <v>1058</v>
      </c>
      <c r="B2122">
        <v>358</v>
      </c>
      <c r="C2122" t="s">
        <v>2553</v>
      </c>
      <c r="D2122" t="s">
        <v>28</v>
      </c>
      <c r="E2122" t="s">
        <v>53</v>
      </c>
      <c r="F2122" t="s">
        <v>3161</v>
      </c>
      <c r="G2122" t="str">
        <f>"20160705460"</f>
        <v>20160705460</v>
      </c>
      <c r="H2122">
        <v>924</v>
      </c>
      <c r="I2122">
        <v>0</v>
      </c>
      <c r="J2122">
        <v>0</v>
      </c>
      <c r="K2122">
        <v>0</v>
      </c>
      <c r="L2122">
        <v>0</v>
      </c>
      <c r="M2122">
        <v>0</v>
      </c>
      <c r="N2122">
        <v>0</v>
      </c>
      <c r="O2122">
        <v>0</v>
      </c>
      <c r="P2122">
        <v>0</v>
      </c>
      <c r="Q2122">
        <v>0</v>
      </c>
      <c r="R2122">
        <v>60</v>
      </c>
      <c r="S2122">
        <v>420</v>
      </c>
      <c r="T2122">
        <v>0</v>
      </c>
      <c r="V2122">
        <v>1</v>
      </c>
      <c r="W2122">
        <v>1344</v>
      </c>
    </row>
    <row r="2123" spans="1:23" x14ac:dyDescent="0.25">
      <c r="H2123">
        <v>703</v>
      </c>
    </row>
    <row r="2124" spans="1:23" x14ac:dyDescent="0.25">
      <c r="A2124">
        <v>1059</v>
      </c>
      <c r="B2124">
        <v>832</v>
      </c>
      <c r="C2124" t="s">
        <v>3162</v>
      </c>
      <c r="D2124" t="s">
        <v>155</v>
      </c>
      <c r="E2124" t="s">
        <v>2758</v>
      </c>
      <c r="F2124" t="s">
        <v>3163</v>
      </c>
      <c r="G2124" t="str">
        <f>"201507000839"</f>
        <v>201507000839</v>
      </c>
      <c r="H2124" t="s">
        <v>1556</v>
      </c>
      <c r="I2124">
        <v>0</v>
      </c>
      <c r="J2124">
        <v>70</v>
      </c>
      <c r="K2124">
        <v>30</v>
      </c>
      <c r="L2124">
        <v>0</v>
      </c>
      <c r="M2124">
        <v>0</v>
      </c>
      <c r="N2124">
        <v>0</v>
      </c>
      <c r="O2124">
        <v>0</v>
      </c>
      <c r="P2124">
        <v>0</v>
      </c>
      <c r="Q2124">
        <v>0</v>
      </c>
      <c r="R2124">
        <v>57</v>
      </c>
      <c r="S2124">
        <v>399</v>
      </c>
      <c r="T2124">
        <v>0</v>
      </c>
      <c r="V2124">
        <v>0</v>
      </c>
      <c r="W2124" t="s">
        <v>3164</v>
      </c>
    </row>
    <row r="2125" spans="1:23" x14ac:dyDescent="0.25">
      <c r="H2125" t="s">
        <v>70</v>
      </c>
    </row>
    <row r="2126" spans="1:23" x14ac:dyDescent="0.25">
      <c r="A2126">
        <v>1060</v>
      </c>
      <c r="B2126">
        <v>1958</v>
      </c>
      <c r="C2126" t="s">
        <v>3165</v>
      </c>
      <c r="D2126" t="s">
        <v>99</v>
      </c>
      <c r="E2126" t="s">
        <v>424</v>
      </c>
      <c r="F2126" t="s">
        <v>3166</v>
      </c>
      <c r="G2126" t="str">
        <f>"00181492"</f>
        <v>00181492</v>
      </c>
      <c r="H2126" t="s">
        <v>3167</v>
      </c>
      <c r="I2126">
        <v>0</v>
      </c>
      <c r="J2126">
        <v>0</v>
      </c>
      <c r="K2126">
        <v>0</v>
      </c>
      <c r="L2126">
        <v>0</v>
      </c>
      <c r="M2126">
        <v>0</v>
      </c>
      <c r="N2126">
        <v>0</v>
      </c>
      <c r="O2126">
        <v>0</v>
      </c>
      <c r="P2126">
        <v>0</v>
      </c>
      <c r="Q2126">
        <v>0</v>
      </c>
      <c r="R2126">
        <v>84</v>
      </c>
      <c r="S2126">
        <v>588</v>
      </c>
      <c r="T2126">
        <v>0</v>
      </c>
      <c r="V2126">
        <v>2</v>
      </c>
      <c r="W2126" t="s">
        <v>3168</v>
      </c>
    </row>
    <row r="2127" spans="1:23" x14ac:dyDescent="0.25">
      <c r="H2127">
        <v>703</v>
      </c>
    </row>
    <row r="2128" spans="1:23" x14ac:dyDescent="0.25">
      <c r="A2128">
        <v>1061</v>
      </c>
      <c r="B2128">
        <v>1573</v>
      </c>
      <c r="C2128" t="s">
        <v>3169</v>
      </c>
      <c r="D2128" t="s">
        <v>62</v>
      </c>
      <c r="E2128" t="s">
        <v>1633</v>
      </c>
      <c r="F2128" t="s">
        <v>3170</v>
      </c>
      <c r="G2128" t="str">
        <f>"201604000101"</f>
        <v>201604000101</v>
      </c>
      <c r="H2128" t="s">
        <v>3167</v>
      </c>
      <c r="I2128">
        <v>0</v>
      </c>
      <c r="J2128">
        <v>0</v>
      </c>
      <c r="K2128">
        <v>0</v>
      </c>
      <c r="L2128">
        <v>0</v>
      </c>
      <c r="M2128">
        <v>0</v>
      </c>
      <c r="N2128">
        <v>0</v>
      </c>
      <c r="O2128">
        <v>0</v>
      </c>
      <c r="P2128">
        <v>0</v>
      </c>
      <c r="Q2128">
        <v>0</v>
      </c>
      <c r="R2128">
        <v>84</v>
      </c>
      <c r="S2128">
        <v>588</v>
      </c>
      <c r="T2128">
        <v>0</v>
      </c>
      <c r="V2128">
        <v>1</v>
      </c>
      <c r="W2128" t="s">
        <v>3168</v>
      </c>
    </row>
    <row r="2129" spans="1:23" x14ac:dyDescent="0.25">
      <c r="H2129">
        <v>703</v>
      </c>
    </row>
    <row r="2130" spans="1:23" x14ac:dyDescent="0.25">
      <c r="A2130">
        <v>1062</v>
      </c>
      <c r="B2130">
        <v>1912</v>
      </c>
      <c r="C2130" t="s">
        <v>3171</v>
      </c>
      <c r="D2130" t="s">
        <v>273</v>
      </c>
      <c r="E2130" t="s">
        <v>369</v>
      </c>
      <c r="F2130" t="s">
        <v>3172</v>
      </c>
      <c r="G2130" t="str">
        <f>"00181455"</f>
        <v>00181455</v>
      </c>
      <c r="H2130">
        <v>1089</v>
      </c>
      <c r="I2130">
        <v>0</v>
      </c>
      <c r="J2130">
        <v>70</v>
      </c>
      <c r="K2130">
        <v>50</v>
      </c>
      <c r="L2130">
        <v>0</v>
      </c>
      <c r="M2130">
        <v>0</v>
      </c>
      <c r="N2130">
        <v>0</v>
      </c>
      <c r="O2130">
        <v>0</v>
      </c>
      <c r="P2130">
        <v>0</v>
      </c>
      <c r="Q2130">
        <v>0</v>
      </c>
      <c r="R2130">
        <v>19</v>
      </c>
      <c r="S2130">
        <v>133</v>
      </c>
      <c r="T2130">
        <v>0</v>
      </c>
      <c r="V2130">
        <v>0</v>
      </c>
      <c r="W2130">
        <v>1342</v>
      </c>
    </row>
    <row r="2131" spans="1:23" x14ac:dyDescent="0.25">
      <c r="H2131" t="s">
        <v>70</v>
      </c>
    </row>
    <row r="2132" spans="1:23" x14ac:dyDescent="0.25">
      <c r="A2132">
        <v>1063</v>
      </c>
      <c r="B2132">
        <v>1142</v>
      </c>
      <c r="C2132" t="s">
        <v>3173</v>
      </c>
      <c r="D2132" t="s">
        <v>912</v>
      </c>
      <c r="E2132" t="s">
        <v>33</v>
      </c>
      <c r="F2132" t="s">
        <v>3174</v>
      </c>
      <c r="G2132" t="str">
        <f>"00225795"</f>
        <v>00225795</v>
      </c>
      <c r="H2132">
        <v>891</v>
      </c>
      <c r="I2132">
        <v>0</v>
      </c>
      <c r="J2132">
        <v>30</v>
      </c>
      <c r="K2132">
        <v>50</v>
      </c>
      <c r="L2132">
        <v>0</v>
      </c>
      <c r="M2132">
        <v>0</v>
      </c>
      <c r="N2132">
        <v>0</v>
      </c>
      <c r="O2132">
        <v>0</v>
      </c>
      <c r="P2132">
        <v>0</v>
      </c>
      <c r="Q2132">
        <v>0</v>
      </c>
      <c r="R2132">
        <v>53</v>
      </c>
      <c r="S2132">
        <v>371</v>
      </c>
      <c r="T2132">
        <v>0</v>
      </c>
      <c r="V2132">
        <v>0</v>
      </c>
      <c r="W2132">
        <v>1342</v>
      </c>
    </row>
    <row r="2133" spans="1:23" x14ac:dyDescent="0.25">
      <c r="H2133" t="s">
        <v>26</v>
      </c>
    </row>
    <row r="2134" spans="1:23" x14ac:dyDescent="0.25">
      <c r="A2134">
        <v>1064</v>
      </c>
      <c r="B2134">
        <v>347</v>
      </c>
      <c r="C2134" t="s">
        <v>3175</v>
      </c>
      <c r="D2134" t="s">
        <v>610</v>
      </c>
      <c r="E2134" t="s">
        <v>523</v>
      </c>
      <c r="F2134">
        <v>385982</v>
      </c>
      <c r="G2134" t="str">
        <f>"00009309"</f>
        <v>00009309</v>
      </c>
      <c r="H2134">
        <v>891</v>
      </c>
      <c r="I2134">
        <v>0</v>
      </c>
      <c r="J2134">
        <v>50</v>
      </c>
      <c r="K2134">
        <v>0</v>
      </c>
      <c r="L2134">
        <v>30</v>
      </c>
      <c r="M2134">
        <v>0</v>
      </c>
      <c r="N2134">
        <v>0</v>
      </c>
      <c r="O2134">
        <v>0</v>
      </c>
      <c r="P2134">
        <v>0</v>
      </c>
      <c r="Q2134">
        <v>0</v>
      </c>
      <c r="R2134">
        <v>53</v>
      </c>
      <c r="S2134">
        <v>371</v>
      </c>
      <c r="T2134">
        <v>0</v>
      </c>
      <c r="V2134">
        <v>0</v>
      </c>
      <c r="W2134">
        <v>1342</v>
      </c>
    </row>
    <row r="2135" spans="1:23" x14ac:dyDescent="0.25">
      <c r="H2135" t="s">
        <v>3176</v>
      </c>
    </row>
    <row r="2136" spans="1:23" x14ac:dyDescent="0.25">
      <c r="A2136">
        <v>1065</v>
      </c>
      <c r="B2136">
        <v>2484</v>
      </c>
      <c r="C2136" t="s">
        <v>1006</v>
      </c>
      <c r="D2136" t="s">
        <v>3177</v>
      </c>
      <c r="E2136" t="s">
        <v>21</v>
      </c>
      <c r="F2136" t="s">
        <v>3178</v>
      </c>
      <c r="G2136" t="str">
        <f>"00115269"</f>
        <v>00115269</v>
      </c>
      <c r="H2136" t="s">
        <v>531</v>
      </c>
      <c r="I2136">
        <v>0</v>
      </c>
      <c r="J2136">
        <v>70</v>
      </c>
      <c r="K2136">
        <v>30</v>
      </c>
      <c r="L2136">
        <v>0</v>
      </c>
      <c r="M2136">
        <v>0</v>
      </c>
      <c r="N2136">
        <v>0</v>
      </c>
      <c r="O2136">
        <v>0</v>
      </c>
      <c r="P2136">
        <v>0</v>
      </c>
      <c r="Q2136">
        <v>0</v>
      </c>
      <c r="R2136">
        <v>43</v>
      </c>
      <c r="S2136">
        <v>301</v>
      </c>
      <c r="T2136">
        <v>0</v>
      </c>
      <c r="V2136">
        <v>0</v>
      </c>
      <c r="W2136" t="s">
        <v>3179</v>
      </c>
    </row>
    <row r="2137" spans="1:23" x14ac:dyDescent="0.25">
      <c r="H2137" t="s">
        <v>70</v>
      </c>
    </row>
    <row r="2138" spans="1:23" x14ac:dyDescent="0.25">
      <c r="A2138">
        <v>1066</v>
      </c>
      <c r="B2138">
        <v>1053</v>
      </c>
      <c r="C2138" t="s">
        <v>3180</v>
      </c>
      <c r="D2138" t="s">
        <v>28</v>
      </c>
      <c r="E2138" t="s">
        <v>105</v>
      </c>
      <c r="F2138" t="s">
        <v>3181</v>
      </c>
      <c r="G2138" t="str">
        <f>"201402005439"</f>
        <v>201402005439</v>
      </c>
      <c r="H2138" t="s">
        <v>1844</v>
      </c>
      <c r="I2138">
        <v>150</v>
      </c>
      <c r="J2138">
        <v>0</v>
      </c>
      <c r="K2138">
        <v>0</v>
      </c>
      <c r="L2138">
        <v>0</v>
      </c>
      <c r="M2138">
        <v>0</v>
      </c>
      <c r="N2138">
        <v>0</v>
      </c>
      <c r="O2138">
        <v>0</v>
      </c>
      <c r="P2138">
        <v>0</v>
      </c>
      <c r="Q2138">
        <v>0</v>
      </c>
      <c r="R2138">
        <v>29</v>
      </c>
      <c r="S2138">
        <v>203</v>
      </c>
      <c r="T2138">
        <v>0</v>
      </c>
      <c r="V2138">
        <v>2</v>
      </c>
      <c r="W2138" t="s">
        <v>3182</v>
      </c>
    </row>
    <row r="2139" spans="1:23" x14ac:dyDescent="0.25">
      <c r="H2139">
        <v>703</v>
      </c>
    </row>
    <row r="2140" spans="1:23" x14ac:dyDescent="0.25">
      <c r="A2140">
        <v>1067</v>
      </c>
      <c r="B2140">
        <v>896</v>
      </c>
      <c r="C2140" t="s">
        <v>3183</v>
      </c>
      <c r="D2140" t="s">
        <v>1684</v>
      </c>
      <c r="E2140" t="s">
        <v>41</v>
      </c>
      <c r="F2140" t="s">
        <v>3184</v>
      </c>
      <c r="G2140" t="str">
        <f>"201406014266"</f>
        <v>201406014266</v>
      </c>
      <c r="H2140">
        <v>1056</v>
      </c>
      <c r="I2140">
        <v>0</v>
      </c>
      <c r="J2140">
        <v>30</v>
      </c>
      <c r="K2140">
        <v>0</v>
      </c>
      <c r="L2140">
        <v>0</v>
      </c>
      <c r="M2140">
        <v>0</v>
      </c>
      <c r="N2140">
        <v>0</v>
      </c>
      <c r="O2140">
        <v>0</v>
      </c>
      <c r="P2140">
        <v>0</v>
      </c>
      <c r="Q2140">
        <v>0</v>
      </c>
      <c r="R2140">
        <v>36</v>
      </c>
      <c r="S2140">
        <v>252</v>
      </c>
      <c r="T2140">
        <v>0</v>
      </c>
      <c r="V2140">
        <v>0</v>
      </c>
      <c r="W2140">
        <v>1338</v>
      </c>
    </row>
    <row r="2141" spans="1:23" x14ac:dyDescent="0.25">
      <c r="H2141">
        <v>703</v>
      </c>
    </row>
    <row r="2142" spans="1:23" x14ac:dyDescent="0.25">
      <c r="A2142">
        <v>1068</v>
      </c>
      <c r="B2142">
        <v>1591</v>
      </c>
      <c r="C2142" t="s">
        <v>3185</v>
      </c>
      <c r="D2142" t="s">
        <v>57</v>
      </c>
      <c r="E2142" t="s">
        <v>1818</v>
      </c>
      <c r="F2142" t="s">
        <v>3186</v>
      </c>
      <c r="G2142" t="str">
        <f>"201503000516"</f>
        <v>201503000516</v>
      </c>
      <c r="H2142">
        <v>825</v>
      </c>
      <c r="I2142">
        <v>150</v>
      </c>
      <c r="J2142">
        <v>70</v>
      </c>
      <c r="K2142">
        <v>30</v>
      </c>
      <c r="L2142">
        <v>30</v>
      </c>
      <c r="M2142">
        <v>0</v>
      </c>
      <c r="N2142">
        <v>30</v>
      </c>
      <c r="O2142">
        <v>0</v>
      </c>
      <c r="P2142">
        <v>0</v>
      </c>
      <c r="Q2142">
        <v>0</v>
      </c>
      <c r="R2142">
        <v>29</v>
      </c>
      <c r="S2142">
        <v>203</v>
      </c>
      <c r="T2142">
        <v>0</v>
      </c>
      <c r="V2142">
        <v>0</v>
      </c>
      <c r="W2142">
        <v>1338</v>
      </c>
    </row>
    <row r="2143" spans="1:23" x14ac:dyDescent="0.25">
      <c r="H2143" t="s">
        <v>70</v>
      </c>
    </row>
    <row r="2144" spans="1:23" x14ac:dyDescent="0.25">
      <c r="A2144">
        <v>1069</v>
      </c>
      <c r="B2144">
        <v>916</v>
      </c>
      <c r="C2144" t="s">
        <v>3187</v>
      </c>
      <c r="D2144" t="s">
        <v>219</v>
      </c>
      <c r="E2144" t="s">
        <v>62</v>
      </c>
      <c r="F2144" t="s">
        <v>3188</v>
      </c>
      <c r="G2144" t="str">
        <f>"00209562"</f>
        <v>00209562</v>
      </c>
      <c r="H2144" t="s">
        <v>3189</v>
      </c>
      <c r="I2144">
        <v>0</v>
      </c>
      <c r="J2144">
        <v>30</v>
      </c>
      <c r="K2144">
        <v>0</v>
      </c>
      <c r="L2144">
        <v>0</v>
      </c>
      <c r="M2144">
        <v>0</v>
      </c>
      <c r="N2144">
        <v>0</v>
      </c>
      <c r="O2144">
        <v>0</v>
      </c>
      <c r="P2144">
        <v>0</v>
      </c>
      <c r="Q2144">
        <v>0</v>
      </c>
      <c r="R2144">
        <v>84</v>
      </c>
      <c r="S2144">
        <v>588</v>
      </c>
      <c r="T2144">
        <v>0</v>
      </c>
      <c r="V2144">
        <v>0</v>
      </c>
      <c r="W2144" t="s">
        <v>3190</v>
      </c>
    </row>
    <row r="2145" spans="1:23" x14ac:dyDescent="0.25">
      <c r="H2145">
        <v>703</v>
      </c>
    </row>
    <row r="2146" spans="1:23" x14ac:dyDescent="0.25">
      <c r="A2146">
        <v>1070</v>
      </c>
      <c r="B2146">
        <v>1795</v>
      </c>
      <c r="C2146" t="s">
        <v>3191</v>
      </c>
      <c r="D2146" t="s">
        <v>273</v>
      </c>
      <c r="E2146" t="s">
        <v>3192</v>
      </c>
      <c r="F2146" t="s">
        <v>3193</v>
      </c>
      <c r="G2146" t="str">
        <f>"200901000205"</f>
        <v>200901000205</v>
      </c>
      <c r="H2146" t="s">
        <v>158</v>
      </c>
      <c r="I2146">
        <v>0</v>
      </c>
      <c r="J2146">
        <v>30</v>
      </c>
      <c r="K2146">
        <v>0</v>
      </c>
      <c r="L2146">
        <v>0</v>
      </c>
      <c r="M2146">
        <v>0</v>
      </c>
      <c r="N2146">
        <v>0</v>
      </c>
      <c r="O2146">
        <v>0</v>
      </c>
      <c r="P2146">
        <v>0</v>
      </c>
      <c r="Q2146">
        <v>0</v>
      </c>
      <c r="R2146">
        <v>41</v>
      </c>
      <c r="S2146">
        <v>287</v>
      </c>
      <c r="T2146">
        <v>0</v>
      </c>
      <c r="V2146">
        <v>2</v>
      </c>
      <c r="W2146" t="s">
        <v>3194</v>
      </c>
    </row>
    <row r="2147" spans="1:23" x14ac:dyDescent="0.25">
      <c r="H2147">
        <v>703</v>
      </c>
    </row>
    <row r="2148" spans="1:23" x14ac:dyDescent="0.25">
      <c r="A2148">
        <v>1071</v>
      </c>
      <c r="B2148">
        <v>747</v>
      </c>
      <c r="C2148" t="s">
        <v>3195</v>
      </c>
      <c r="D2148" t="s">
        <v>1080</v>
      </c>
      <c r="E2148" t="s">
        <v>2000</v>
      </c>
      <c r="F2148" t="s">
        <v>3196</v>
      </c>
      <c r="G2148" t="str">
        <f>"201511014418"</f>
        <v>201511014418</v>
      </c>
      <c r="H2148" t="s">
        <v>1901</v>
      </c>
      <c r="I2148">
        <v>0</v>
      </c>
      <c r="J2148">
        <v>30</v>
      </c>
      <c r="K2148">
        <v>0</v>
      </c>
      <c r="L2148">
        <v>30</v>
      </c>
      <c r="M2148">
        <v>0</v>
      </c>
      <c r="N2148">
        <v>0</v>
      </c>
      <c r="O2148">
        <v>0</v>
      </c>
      <c r="P2148">
        <v>0</v>
      </c>
      <c r="Q2148">
        <v>0</v>
      </c>
      <c r="R2148">
        <v>47</v>
      </c>
      <c r="S2148">
        <v>329</v>
      </c>
      <c r="T2148">
        <v>0</v>
      </c>
      <c r="V2148">
        <v>0</v>
      </c>
      <c r="W2148" t="s">
        <v>3197</v>
      </c>
    </row>
    <row r="2149" spans="1:23" x14ac:dyDescent="0.25">
      <c r="H2149" t="s">
        <v>70</v>
      </c>
    </row>
    <row r="2150" spans="1:23" x14ac:dyDescent="0.25">
      <c r="A2150">
        <v>1072</v>
      </c>
      <c r="B2150">
        <v>1357</v>
      </c>
      <c r="C2150" t="s">
        <v>3198</v>
      </c>
      <c r="D2150" t="s">
        <v>273</v>
      </c>
      <c r="E2150" t="s">
        <v>607</v>
      </c>
      <c r="F2150" t="s">
        <v>3199</v>
      </c>
      <c r="G2150" t="str">
        <f>"00146172"</f>
        <v>00146172</v>
      </c>
      <c r="H2150">
        <v>748</v>
      </c>
      <c r="I2150">
        <v>0</v>
      </c>
      <c r="J2150">
        <v>0</v>
      </c>
      <c r="K2150">
        <v>0</v>
      </c>
      <c r="L2150">
        <v>0</v>
      </c>
      <c r="M2150">
        <v>0</v>
      </c>
      <c r="N2150">
        <v>0</v>
      </c>
      <c r="O2150">
        <v>0</v>
      </c>
      <c r="P2150">
        <v>0</v>
      </c>
      <c r="Q2150">
        <v>0</v>
      </c>
      <c r="R2150">
        <v>84</v>
      </c>
      <c r="S2150">
        <v>588</v>
      </c>
      <c r="T2150">
        <v>0</v>
      </c>
      <c r="V2150">
        <v>0</v>
      </c>
      <c r="W2150">
        <v>1336</v>
      </c>
    </row>
    <row r="2151" spans="1:23" x14ac:dyDescent="0.25">
      <c r="H2151">
        <v>703</v>
      </c>
    </row>
    <row r="2152" spans="1:23" x14ac:dyDescent="0.25">
      <c r="A2152">
        <v>1073</v>
      </c>
      <c r="B2152">
        <v>2529</v>
      </c>
      <c r="C2152" t="s">
        <v>3200</v>
      </c>
      <c r="D2152" t="s">
        <v>40</v>
      </c>
      <c r="E2152" t="s">
        <v>129</v>
      </c>
      <c r="F2152" t="s">
        <v>3201</v>
      </c>
      <c r="G2152" t="str">
        <f>"00146022"</f>
        <v>00146022</v>
      </c>
      <c r="H2152">
        <v>924</v>
      </c>
      <c r="I2152">
        <v>150</v>
      </c>
      <c r="J2152">
        <v>70</v>
      </c>
      <c r="K2152">
        <v>0</v>
      </c>
      <c r="L2152">
        <v>30</v>
      </c>
      <c r="M2152">
        <v>0</v>
      </c>
      <c r="N2152">
        <v>0</v>
      </c>
      <c r="O2152">
        <v>0</v>
      </c>
      <c r="P2152">
        <v>0</v>
      </c>
      <c r="Q2152">
        <v>0</v>
      </c>
      <c r="R2152">
        <v>23</v>
      </c>
      <c r="S2152">
        <v>161</v>
      </c>
      <c r="T2152">
        <v>0</v>
      </c>
      <c r="V2152">
        <v>0</v>
      </c>
      <c r="W2152">
        <v>1335</v>
      </c>
    </row>
    <row r="2153" spans="1:23" x14ac:dyDescent="0.25">
      <c r="H2153" t="s">
        <v>70</v>
      </c>
    </row>
    <row r="2154" spans="1:23" x14ac:dyDescent="0.25">
      <c r="A2154">
        <v>1074</v>
      </c>
      <c r="B2154">
        <v>897</v>
      </c>
      <c r="C2154" t="s">
        <v>3202</v>
      </c>
      <c r="D2154" t="s">
        <v>273</v>
      </c>
      <c r="E2154" t="s">
        <v>105</v>
      </c>
      <c r="F2154" t="s">
        <v>3203</v>
      </c>
      <c r="G2154" t="str">
        <f>"201406003355"</f>
        <v>201406003355</v>
      </c>
      <c r="H2154" t="s">
        <v>622</v>
      </c>
      <c r="I2154">
        <v>0</v>
      </c>
      <c r="J2154">
        <v>30</v>
      </c>
      <c r="K2154">
        <v>0</v>
      </c>
      <c r="L2154">
        <v>0</v>
      </c>
      <c r="M2154">
        <v>50</v>
      </c>
      <c r="N2154">
        <v>0</v>
      </c>
      <c r="O2154">
        <v>0</v>
      </c>
      <c r="P2154">
        <v>0</v>
      </c>
      <c r="Q2154">
        <v>0</v>
      </c>
      <c r="R2154">
        <v>40</v>
      </c>
      <c r="S2154">
        <v>280</v>
      </c>
      <c r="T2154">
        <v>0</v>
      </c>
      <c r="V2154">
        <v>0</v>
      </c>
      <c r="W2154" t="s">
        <v>3204</v>
      </c>
    </row>
    <row r="2155" spans="1:23" x14ac:dyDescent="0.25">
      <c r="H2155" t="s">
        <v>70</v>
      </c>
    </row>
    <row r="2156" spans="1:23" x14ac:dyDescent="0.25">
      <c r="A2156">
        <v>1075</v>
      </c>
      <c r="B2156">
        <v>2386</v>
      </c>
      <c r="C2156" t="s">
        <v>1888</v>
      </c>
      <c r="D2156" t="s">
        <v>285</v>
      </c>
      <c r="E2156" t="s">
        <v>109</v>
      </c>
      <c r="F2156" t="s">
        <v>3205</v>
      </c>
      <c r="G2156" t="str">
        <f>"200802010560"</f>
        <v>200802010560</v>
      </c>
      <c r="H2156" t="s">
        <v>376</v>
      </c>
      <c r="I2156">
        <v>150</v>
      </c>
      <c r="J2156">
        <v>30</v>
      </c>
      <c r="K2156">
        <v>0</v>
      </c>
      <c r="L2156">
        <v>0</v>
      </c>
      <c r="M2156">
        <v>0</v>
      </c>
      <c r="N2156">
        <v>0</v>
      </c>
      <c r="O2156">
        <v>0</v>
      </c>
      <c r="P2156">
        <v>0</v>
      </c>
      <c r="Q2156">
        <v>0</v>
      </c>
      <c r="R2156">
        <v>15</v>
      </c>
      <c r="S2156">
        <v>105</v>
      </c>
      <c r="T2156">
        <v>0</v>
      </c>
      <c r="V2156">
        <v>0</v>
      </c>
      <c r="W2156" t="s">
        <v>3206</v>
      </c>
    </row>
    <row r="2157" spans="1:23" x14ac:dyDescent="0.25">
      <c r="H2157">
        <v>703</v>
      </c>
    </row>
    <row r="2158" spans="1:23" x14ac:dyDescent="0.25">
      <c r="A2158">
        <v>1076</v>
      </c>
      <c r="B2158">
        <v>2508</v>
      </c>
      <c r="C2158" t="s">
        <v>3207</v>
      </c>
      <c r="D2158" t="s">
        <v>3208</v>
      </c>
      <c r="E2158" t="s">
        <v>1678</v>
      </c>
      <c r="F2158" t="s">
        <v>3209</v>
      </c>
      <c r="G2158" t="str">
        <f>"201406000197"</f>
        <v>201406000197</v>
      </c>
      <c r="H2158">
        <v>979</v>
      </c>
      <c r="I2158">
        <v>0</v>
      </c>
      <c r="J2158">
        <v>70</v>
      </c>
      <c r="K2158">
        <v>0</v>
      </c>
      <c r="L2158">
        <v>50</v>
      </c>
      <c r="M2158">
        <v>30</v>
      </c>
      <c r="N2158">
        <v>0</v>
      </c>
      <c r="O2158">
        <v>30</v>
      </c>
      <c r="P2158">
        <v>0</v>
      </c>
      <c r="Q2158">
        <v>0</v>
      </c>
      <c r="R2158">
        <v>25</v>
      </c>
      <c r="S2158">
        <v>175</v>
      </c>
      <c r="T2158">
        <v>0</v>
      </c>
      <c r="V2158">
        <v>0</v>
      </c>
      <c r="W2158">
        <v>1334</v>
      </c>
    </row>
    <row r="2159" spans="1:23" x14ac:dyDescent="0.25">
      <c r="H2159" t="s">
        <v>26</v>
      </c>
    </row>
    <row r="2160" spans="1:23" x14ac:dyDescent="0.25">
      <c r="A2160">
        <v>1077</v>
      </c>
      <c r="B2160">
        <v>3177</v>
      </c>
      <c r="C2160" t="s">
        <v>3210</v>
      </c>
      <c r="D2160" t="s">
        <v>2734</v>
      </c>
      <c r="E2160" t="s">
        <v>21</v>
      </c>
      <c r="F2160" t="s">
        <v>3211</v>
      </c>
      <c r="G2160" t="str">
        <f>"201411001821"</f>
        <v>201411001821</v>
      </c>
      <c r="H2160" t="s">
        <v>142</v>
      </c>
      <c r="I2160">
        <v>150</v>
      </c>
      <c r="J2160">
        <v>30</v>
      </c>
      <c r="K2160">
        <v>0</v>
      </c>
      <c r="L2160">
        <v>0</v>
      </c>
      <c r="M2160">
        <v>0</v>
      </c>
      <c r="N2160">
        <v>0</v>
      </c>
      <c r="O2160">
        <v>0</v>
      </c>
      <c r="P2160">
        <v>0</v>
      </c>
      <c r="Q2160">
        <v>0</v>
      </c>
      <c r="R2160">
        <v>13</v>
      </c>
      <c r="S2160">
        <v>91</v>
      </c>
      <c r="T2160">
        <v>0</v>
      </c>
      <c r="V2160">
        <v>0</v>
      </c>
      <c r="W2160" t="s">
        <v>3212</v>
      </c>
    </row>
    <row r="2161" spans="1:23" x14ac:dyDescent="0.25">
      <c r="H2161">
        <v>703</v>
      </c>
    </row>
    <row r="2162" spans="1:23" x14ac:dyDescent="0.25">
      <c r="A2162">
        <v>1078</v>
      </c>
      <c r="B2162">
        <v>1095</v>
      </c>
      <c r="C2162" t="s">
        <v>3213</v>
      </c>
      <c r="D2162" t="s">
        <v>185</v>
      </c>
      <c r="E2162" t="s">
        <v>3214</v>
      </c>
      <c r="F2162" t="s">
        <v>3215</v>
      </c>
      <c r="G2162" t="str">
        <f>"201601000760"</f>
        <v>201601000760</v>
      </c>
      <c r="H2162">
        <v>1012</v>
      </c>
      <c r="I2162">
        <v>150</v>
      </c>
      <c r="J2162">
        <v>30</v>
      </c>
      <c r="K2162">
        <v>0</v>
      </c>
      <c r="L2162">
        <v>0</v>
      </c>
      <c r="M2162">
        <v>0</v>
      </c>
      <c r="N2162">
        <v>0</v>
      </c>
      <c r="O2162">
        <v>0</v>
      </c>
      <c r="P2162">
        <v>0</v>
      </c>
      <c r="Q2162">
        <v>0</v>
      </c>
      <c r="R2162">
        <v>20</v>
      </c>
      <c r="S2162">
        <v>140</v>
      </c>
      <c r="T2162">
        <v>0</v>
      </c>
      <c r="V2162">
        <v>0</v>
      </c>
      <c r="W2162">
        <v>1332</v>
      </c>
    </row>
    <row r="2163" spans="1:23" x14ac:dyDescent="0.25">
      <c r="H2163">
        <v>703</v>
      </c>
    </row>
    <row r="2164" spans="1:23" x14ac:dyDescent="0.25">
      <c r="A2164">
        <v>1079</v>
      </c>
      <c r="B2164">
        <v>2229</v>
      </c>
      <c r="C2164" t="s">
        <v>3216</v>
      </c>
      <c r="D2164" t="s">
        <v>3217</v>
      </c>
      <c r="E2164" t="s">
        <v>752</v>
      </c>
      <c r="F2164" t="s">
        <v>3218</v>
      </c>
      <c r="G2164" t="str">
        <f>"201304002294"</f>
        <v>201304002294</v>
      </c>
      <c r="H2164" t="s">
        <v>1359</v>
      </c>
      <c r="I2164">
        <v>150</v>
      </c>
      <c r="J2164">
        <v>70</v>
      </c>
      <c r="K2164">
        <v>0</v>
      </c>
      <c r="L2164">
        <v>0</v>
      </c>
      <c r="M2164">
        <v>0</v>
      </c>
      <c r="N2164">
        <v>0</v>
      </c>
      <c r="O2164">
        <v>0</v>
      </c>
      <c r="P2164">
        <v>0</v>
      </c>
      <c r="Q2164">
        <v>0</v>
      </c>
      <c r="R2164">
        <v>37</v>
      </c>
      <c r="S2164">
        <v>259</v>
      </c>
      <c r="T2164">
        <v>0</v>
      </c>
      <c r="V2164">
        <v>0</v>
      </c>
      <c r="W2164" t="s">
        <v>3219</v>
      </c>
    </row>
    <row r="2165" spans="1:23" x14ac:dyDescent="0.25">
      <c r="H2165" t="s">
        <v>26</v>
      </c>
    </row>
    <row r="2166" spans="1:23" x14ac:dyDescent="0.25">
      <c r="A2166">
        <v>1080</v>
      </c>
      <c r="B2166">
        <v>2730</v>
      </c>
      <c r="C2166" t="s">
        <v>3220</v>
      </c>
      <c r="D2166" t="s">
        <v>28</v>
      </c>
      <c r="E2166" t="s">
        <v>113</v>
      </c>
      <c r="F2166" t="s">
        <v>3221</v>
      </c>
      <c r="G2166" t="str">
        <f>"00147414"</f>
        <v>00147414</v>
      </c>
      <c r="H2166" t="s">
        <v>191</v>
      </c>
      <c r="I2166">
        <v>0</v>
      </c>
      <c r="J2166">
        <v>0</v>
      </c>
      <c r="K2166">
        <v>0</v>
      </c>
      <c r="L2166">
        <v>0</v>
      </c>
      <c r="M2166">
        <v>0</v>
      </c>
      <c r="N2166">
        <v>0</v>
      </c>
      <c r="O2166">
        <v>0</v>
      </c>
      <c r="P2166">
        <v>0</v>
      </c>
      <c r="Q2166">
        <v>0</v>
      </c>
      <c r="R2166">
        <v>39</v>
      </c>
      <c r="S2166">
        <v>273</v>
      </c>
      <c r="T2166">
        <v>0</v>
      </c>
      <c r="V2166">
        <v>0</v>
      </c>
      <c r="W2166" t="s">
        <v>3222</v>
      </c>
    </row>
    <row r="2167" spans="1:23" x14ac:dyDescent="0.25">
      <c r="H2167">
        <v>703</v>
      </c>
    </row>
    <row r="2168" spans="1:23" x14ac:dyDescent="0.25">
      <c r="A2168">
        <v>1081</v>
      </c>
      <c r="B2168">
        <v>1389</v>
      </c>
      <c r="C2168" t="s">
        <v>3223</v>
      </c>
      <c r="D2168" t="s">
        <v>1633</v>
      </c>
      <c r="E2168" t="s">
        <v>91</v>
      </c>
      <c r="F2168" t="s">
        <v>3224</v>
      </c>
      <c r="G2168" t="str">
        <f>"201412006152"</f>
        <v>201412006152</v>
      </c>
      <c r="H2168" t="s">
        <v>202</v>
      </c>
      <c r="I2168">
        <v>150</v>
      </c>
      <c r="J2168">
        <v>70</v>
      </c>
      <c r="K2168">
        <v>0</v>
      </c>
      <c r="L2168">
        <v>0</v>
      </c>
      <c r="M2168">
        <v>0</v>
      </c>
      <c r="N2168">
        <v>0</v>
      </c>
      <c r="O2168">
        <v>0</v>
      </c>
      <c r="P2168">
        <v>0</v>
      </c>
      <c r="Q2168">
        <v>0</v>
      </c>
      <c r="R2168">
        <v>18</v>
      </c>
      <c r="S2168">
        <v>126</v>
      </c>
      <c r="T2168">
        <v>0</v>
      </c>
      <c r="V2168">
        <v>2</v>
      </c>
      <c r="W2168" t="s">
        <v>3225</v>
      </c>
    </row>
    <row r="2169" spans="1:23" x14ac:dyDescent="0.25">
      <c r="H2169">
        <v>703</v>
      </c>
    </row>
    <row r="2170" spans="1:23" x14ac:dyDescent="0.25">
      <c r="A2170">
        <v>1082</v>
      </c>
      <c r="B2170">
        <v>2083</v>
      </c>
      <c r="C2170" t="s">
        <v>3226</v>
      </c>
      <c r="D2170" t="s">
        <v>361</v>
      </c>
      <c r="E2170" t="s">
        <v>37</v>
      </c>
      <c r="F2170" t="s">
        <v>3227</v>
      </c>
      <c r="G2170" t="str">
        <f>"00158479"</f>
        <v>00158479</v>
      </c>
      <c r="H2170" t="s">
        <v>1238</v>
      </c>
      <c r="I2170">
        <v>150</v>
      </c>
      <c r="J2170">
        <v>0</v>
      </c>
      <c r="K2170">
        <v>0</v>
      </c>
      <c r="L2170">
        <v>0</v>
      </c>
      <c r="M2170">
        <v>0</v>
      </c>
      <c r="N2170">
        <v>0</v>
      </c>
      <c r="O2170">
        <v>0</v>
      </c>
      <c r="P2170">
        <v>0</v>
      </c>
      <c r="Q2170">
        <v>0</v>
      </c>
      <c r="R2170">
        <v>42</v>
      </c>
      <c r="S2170">
        <v>294</v>
      </c>
      <c r="T2170">
        <v>0</v>
      </c>
      <c r="V2170">
        <v>0</v>
      </c>
      <c r="W2170" t="s">
        <v>3228</v>
      </c>
    </row>
    <row r="2171" spans="1:23" x14ac:dyDescent="0.25">
      <c r="H2171">
        <v>703</v>
      </c>
    </row>
    <row r="2172" spans="1:23" x14ac:dyDescent="0.25">
      <c r="A2172">
        <v>1083</v>
      </c>
      <c r="B2172">
        <v>1909</v>
      </c>
      <c r="C2172" t="s">
        <v>3229</v>
      </c>
      <c r="D2172" t="s">
        <v>1815</v>
      </c>
      <c r="E2172" t="s">
        <v>3230</v>
      </c>
      <c r="F2172" t="s">
        <v>3231</v>
      </c>
      <c r="G2172" t="str">
        <f>"201411002076"</f>
        <v>201411002076</v>
      </c>
      <c r="H2172">
        <v>781</v>
      </c>
      <c r="I2172">
        <v>0</v>
      </c>
      <c r="J2172">
        <v>70</v>
      </c>
      <c r="K2172">
        <v>30</v>
      </c>
      <c r="L2172">
        <v>0</v>
      </c>
      <c r="M2172">
        <v>0</v>
      </c>
      <c r="N2172">
        <v>0</v>
      </c>
      <c r="O2172">
        <v>0</v>
      </c>
      <c r="P2172">
        <v>0</v>
      </c>
      <c r="Q2172">
        <v>0</v>
      </c>
      <c r="R2172">
        <v>64</v>
      </c>
      <c r="S2172">
        <v>448</v>
      </c>
      <c r="T2172">
        <v>0</v>
      </c>
      <c r="V2172">
        <v>0</v>
      </c>
      <c r="W2172">
        <v>1329</v>
      </c>
    </row>
    <row r="2173" spans="1:23" x14ac:dyDescent="0.25">
      <c r="H2173" t="s">
        <v>70</v>
      </c>
    </row>
    <row r="2174" spans="1:23" x14ac:dyDescent="0.25">
      <c r="A2174">
        <v>1084</v>
      </c>
      <c r="B2174">
        <v>1188</v>
      </c>
      <c r="C2174" t="s">
        <v>3232</v>
      </c>
      <c r="D2174" t="s">
        <v>28</v>
      </c>
      <c r="E2174" t="s">
        <v>21</v>
      </c>
      <c r="F2174" t="s">
        <v>3233</v>
      </c>
      <c r="G2174" t="str">
        <f>"200801010476"</f>
        <v>200801010476</v>
      </c>
      <c r="H2174">
        <v>781</v>
      </c>
      <c r="I2174">
        <v>0</v>
      </c>
      <c r="J2174">
        <v>70</v>
      </c>
      <c r="K2174">
        <v>70</v>
      </c>
      <c r="L2174">
        <v>0</v>
      </c>
      <c r="M2174">
        <v>30</v>
      </c>
      <c r="N2174">
        <v>0</v>
      </c>
      <c r="O2174">
        <v>0</v>
      </c>
      <c r="P2174">
        <v>0</v>
      </c>
      <c r="Q2174">
        <v>0</v>
      </c>
      <c r="R2174">
        <v>54</v>
      </c>
      <c r="S2174">
        <v>378</v>
      </c>
      <c r="T2174">
        <v>0</v>
      </c>
      <c r="V2174">
        <v>0</v>
      </c>
      <c r="W2174">
        <v>1329</v>
      </c>
    </row>
    <row r="2175" spans="1:23" x14ac:dyDescent="0.25">
      <c r="H2175" t="s">
        <v>70</v>
      </c>
    </row>
    <row r="2176" spans="1:23" x14ac:dyDescent="0.25">
      <c r="A2176">
        <v>1085</v>
      </c>
      <c r="B2176">
        <v>1931</v>
      </c>
      <c r="C2176" t="s">
        <v>1313</v>
      </c>
      <c r="D2176" t="s">
        <v>597</v>
      </c>
      <c r="E2176" t="s">
        <v>53</v>
      </c>
      <c r="F2176" t="s">
        <v>3234</v>
      </c>
      <c r="G2176" t="str">
        <f>"00230273"</f>
        <v>00230273</v>
      </c>
      <c r="H2176" t="s">
        <v>800</v>
      </c>
      <c r="I2176">
        <v>0</v>
      </c>
      <c r="J2176">
        <v>0</v>
      </c>
      <c r="K2176">
        <v>0</v>
      </c>
      <c r="L2176">
        <v>0</v>
      </c>
      <c r="M2176">
        <v>0</v>
      </c>
      <c r="N2176">
        <v>0</v>
      </c>
      <c r="O2176">
        <v>0</v>
      </c>
      <c r="P2176">
        <v>0</v>
      </c>
      <c r="Q2176">
        <v>0</v>
      </c>
      <c r="R2176">
        <v>62</v>
      </c>
      <c r="S2176">
        <v>434</v>
      </c>
      <c r="T2176">
        <v>0</v>
      </c>
      <c r="V2176">
        <v>1</v>
      </c>
      <c r="W2176" t="s">
        <v>3235</v>
      </c>
    </row>
    <row r="2177" spans="1:23" x14ac:dyDescent="0.25">
      <c r="H2177">
        <v>703</v>
      </c>
    </row>
    <row r="2178" spans="1:23" x14ac:dyDescent="0.25">
      <c r="A2178">
        <v>1086</v>
      </c>
      <c r="B2178">
        <v>2451</v>
      </c>
      <c r="C2178" t="s">
        <v>3236</v>
      </c>
      <c r="D2178" t="s">
        <v>155</v>
      </c>
      <c r="E2178" t="s">
        <v>88</v>
      </c>
      <c r="F2178" t="s">
        <v>3237</v>
      </c>
      <c r="G2178" t="str">
        <f>"00118256"</f>
        <v>00118256</v>
      </c>
      <c r="H2178" t="s">
        <v>531</v>
      </c>
      <c r="I2178">
        <v>0</v>
      </c>
      <c r="J2178">
        <v>0</v>
      </c>
      <c r="K2178">
        <v>30</v>
      </c>
      <c r="L2178">
        <v>0</v>
      </c>
      <c r="M2178">
        <v>0</v>
      </c>
      <c r="N2178">
        <v>0</v>
      </c>
      <c r="O2178">
        <v>0</v>
      </c>
      <c r="P2178">
        <v>0</v>
      </c>
      <c r="Q2178">
        <v>0</v>
      </c>
      <c r="R2178">
        <v>51</v>
      </c>
      <c r="S2178">
        <v>357</v>
      </c>
      <c r="T2178">
        <v>0</v>
      </c>
      <c r="V2178">
        <v>2</v>
      </c>
      <c r="W2178" t="s">
        <v>3238</v>
      </c>
    </row>
    <row r="2179" spans="1:23" x14ac:dyDescent="0.25">
      <c r="H2179" t="s">
        <v>26</v>
      </c>
    </row>
    <row r="2180" spans="1:23" x14ac:dyDescent="0.25">
      <c r="A2180">
        <v>1087</v>
      </c>
      <c r="B2180">
        <v>352</v>
      </c>
      <c r="C2180" t="s">
        <v>3239</v>
      </c>
      <c r="D2180" t="s">
        <v>3240</v>
      </c>
      <c r="E2180" t="s">
        <v>109</v>
      </c>
      <c r="F2180" t="s">
        <v>3241</v>
      </c>
      <c r="G2180" t="str">
        <f>"00222821"</f>
        <v>00222821</v>
      </c>
      <c r="H2180" t="s">
        <v>2431</v>
      </c>
      <c r="I2180">
        <v>0</v>
      </c>
      <c r="J2180">
        <v>30</v>
      </c>
      <c r="K2180">
        <v>0</v>
      </c>
      <c r="L2180">
        <v>0</v>
      </c>
      <c r="M2180">
        <v>0</v>
      </c>
      <c r="N2180">
        <v>0</v>
      </c>
      <c r="O2180">
        <v>0</v>
      </c>
      <c r="P2180">
        <v>0</v>
      </c>
      <c r="Q2180">
        <v>0</v>
      </c>
      <c r="R2180">
        <v>84</v>
      </c>
      <c r="S2180">
        <v>588</v>
      </c>
      <c r="T2180">
        <v>0</v>
      </c>
      <c r="V2180">
        <v>0</v>
      </c>
      <c r="W2180" t="s">
        <v>3238</v>
      </c>
    </row>
    <row r="2181" spans="1:23" x14ac:dyDescent="0.25">
      <c r="H2181">
        <v>703</v>
      </c>
    </row>
    <row r="2182" spans="1:23" x14ac:dyDescent="0.25">
      <c r="A2182">
        <v>1088</v>
      </c>
      <c r="B2182">
        <v>408</v>
      </c>
      <c r="C2182" t="s">
        <v>3242</v>
      </c>
      <c r="D2182" t="s">
        <v>273</v>
      </c>
      <c r="E2182" t="s">
        <v>109</v>
      </c>
      <c r="F2182" t="s">
        <v>3243</v>
      </c>
      <c r="G2182" t="str">
        <f>"201510004665"</f>
        <v>201510004665</v>
      </c>
      <c r="H2182" t="s">
        <v>2437</v>
      </c>
      <c r="I2182">
        <v>150</v>
      </c>
      <c r="J2182">
        <v>30</v>
      </c>
      <c r="K2182">
        <v>0</v>
      </c>
      <c r="L2182">
        <v>0</v>
      </c>
      <c r="M2182">
        <v>0</v>
      </c>
      <c r="N2182">
        <v>0</v>
      </c>
      <c r="O2182">
        <v>0</v>
      </c>
      <c r="P2182">
        <v>0</v>
      </c>
      <c r="Q2182">
        <v>0</v>
      </c>
      <c r="R2182">
        <v>44</v>
      </c>
      <c r="S2182">
        <v>308</v>
      </c>
      <c r="T2182">
        <v>0</v>
      </c>
      <c r="V2182">
        <v>0</v>
      </c>
      <c r="W2182" t="s">
        <v>3244</v>
      </c>
    </row>
    <row r="2183" spans="1:23" x14ac:dyDescent="0.25">
      <c r="H2183">
        <v>703</v>
      </c>
    </row>
    <row r="2184" spans="1:23" x14ac:dyDescent="0.25">
      <c r="A2184">
        <v>1089</v>
      </c>
      <c r="B2184">
        <v>2351</v>
      </c>
      <c r="C2184" t="s">
        <v>1191</v>
      </c>
      <c r="D2184" t="s">
        <v>273</v>
      </c>
      <c r="E2184" t="s">
        <v>91</v>
      </c>
      <c r="F2184" t="s">
        <v>3245</v>
      </c>
      <c r="G2184" t="str">
        <f>"201008000173"</f>
        <v>201008000173</v>
      </c>
      <c r="H2184" t="s">
        <v>64</v>
      </c>
      <c r="I2184">
        <v>150</v>
      </c>
      <c r="J2184">
        <v>30</v>
      </c>
      <c r="K2184">
        <v>0</v>
      </c>
      <c r="L2184">
        <v>0</v>
      </c>
      <c r="M2184">
        <v>0</v>
      </c>
      <c r="N2184">
        <v>0</v>
      </c>
      <c r="O2184">
        <v>0</v>
      </c>
      <c r="P2184">
        <v>0</v>
      </c>
      <c r="Q2184">
        <v>0</v>
      </c>
      <c r="R2184">
        <v>8</v>
      </c>
      <c r="S2184">
        <v>56</v>
      </c>
      <c r="T2184">
        <v>0</v>
      </c>
      <c r="V2184">
        <v>0</v>
      </c>
      <c r="W2184" t="s">
        <v>3246</v>
      </c>
    </row>
    <row r="2185" spans="1:23" x14ac:dyDescent="0.25">
      <c r="H2185" t="s">
        <v>70</v>
      </c>
    </row>
    <row r="2186" spans="1:23" x14ac:dyDescent="0.25">
      <c r="A2186">
        <v>1090</v>
      </c>
      <c r="B2186">
        <v>1721</v>
      </c>
      <c r="C2186" t="s">
        <v>3247</v>
      </c>
      <c r="D2186" t="s">
        <v>382</v>
      </c>
      <c r="E2186" t="s">
        <v>2997</v>
      </c>
      <c r="F2186" t="s">
        <v>3248</v>
      </c>
      <c r="G2186" t="str">
        <f>"201405001627"</f>
        <v>201405001627</v>
      </c>
      <c r="H2186" t="s">
        <v>237</v>
      </c>
      <c r="I2186">
        <v>150</v>
      </c>
      <c r="J2186">
        <v>70</v>
      </c>
      <c r="K2186">
        <v>0</v>
      </c>
      <c r="L2186">
        <v>0</v>
      </c>
      <c r="M2186">
        <v>0</v>
      </c>
      <c r="N2186">
        <v>30</v>
      </c>
      <c r="O2186">
        <v>0</v>
      </c>
      <c r="P2186">
        <v>0</v>
      </c>
      <c r="Q2186">
        <v>0</v>
      </c>
      <c r="R2186">
        <v>10</v>
      </c>
      <c r="S2186">
        <v>70</v>
      </c>
      <c r="T2186">
        <v>0</v>
      </c>
      <c r="V2186">
        <v>0</v>
      </c>
      <c r="W2186" t="s">
        <v>3249</v>
      </c>
    </row>
    <row r="2187" spans="1:23" x14ac:dyDescent="0.25">
      <c r="H2187" t="s">
        <v>26</v>
      </c>
    </row>
    <row r="2188" spans="1:23" x14ac:dyDescent="0.25">
      <c r="A2188">
        <v>1091</v>
      </c>
      <c r="B2188">
        <v>109</v>
      </c>
      <c r="C2188" t="s">
        <v>1056</v>
      </c>
      <c r="D2188" t="s">
        <v>40</v>
      </c>
      <c r="E2188" t="s">
        <v>105</v>
      </c>
      <c r="F2188" t="s">
        <v>3250</v>
      </c>
      <c r="G2188" t="str">
        <f>"200712004803"</f>
        <v>200712004803</v>
      </c>
      <c r="H2188" t="s">
        <v>3251</v>
      </c>
      <c r="I2188">
        <v>0</v>
      </c>
      <c r="J2188">
        <v>0</v>
      </c>
      <c r="K2188">
        <v>0</v>
      </c>
      <c r="L2188">
        <v>0</v>
      </c>
      <c r="M2188">
        <v>0</v>
      </c>
      <c r="N2188">
        <v>0</v>
      </c>
      <c r="O2188">
        <v>0</v>
      </c>
      <c r="P2188">
        <v>0</v>
      </c>
      <c r="Q2188">
        <v>0</v>
      </c>
      <c r="R2188">
        <v>84</v>
      </c>
      <c r="S2188">
        <v>588</v>
      </c>
      <c r="T2188">
        <v>0</v>
      </c>
      <c r="V2188">
        <v>0</v>
      </c>
      <c r="W2188" t="s">
        <v>3252</v>
      </c>
    </row>
    <row r="2189" spans="1:23" x14ac:dyDescent="0.25">
      <c r="H2189">
        <v>703</v>
      </c>
    </row>
    <row r="2190" spans="1:23" x14ac:dyDescent="0.25">
      <c r="A2190">
        <v>1092</v>
      </c>
      <c r="B2190">
        <v>947</v>
      </c>
      <c r="C2190" t="s">
        <v>3253</v>
      </c>
      <c r="D2190" t="s">
        <v>3254</v>
      </c>
      <c r="E2190" t="s">
        <v>99</v>
      </c>
      <c r="F2190" t="s">
        <v>3255</v>
      </c>
      <c r="G2190" t="str">
        <f>"201511012735"</f>
        <v>201511012735</v>
      </c>
      <c r="H2190" t="s">
        <v>3251</v>
      </c>
      <c r="I2190">
        <v>0</v>
      </c>
      <c r="J2190">
        <v>0</v>
      </c>
      <c r="K2190">
        <v>0</v>
      </c>
      <c r="L2190">
        <v>0</v>
      </c>
      <c r="M2190">
        <v>0</v>
      </c>
      <c r="N2190">
        <v>0</v>
      </c>
      <c r="O2190">
        <v>0</v>
      </c>
      <c r="P2190">
        <v>0</v>
      </c>
      <c r="Q2190">
        <v>0</v>
      </c>
      <c r="R2190">
        <v>84</v>
      </c>
      <c r="S2190">
        <v>588</v>
      </c>
      <c r="T2190">
        <v>0</v>
      </c>
      <c r="V2190">
        <v>1</v>
      </c>
      <c r="W2190" t="s">
        <v>3252</v>
      </c>
    </row>
    <row r="2191" spans="1:23" x14ac:dyDescent="0.25">
      <c r="H2191" t="s">
        <v>587</v>
      </c>
    </row>
    <row r="2192" spans="1:23" x14ac:dyDescent="0.25">
      <c r="A2192">
        <v>1093</v>
      </c>
      <c r="B2192">
        <v>967</v>
      </c>
      <c r="C2192" t="s">
        <v>3256</v>
      </c>
      <c r="D2192" t="s">
        <v>67</v>
      </c>
      <c r="E2192" t="s">
        <v>227</v>
      </c>
      <c r="F2192" t="s">
        <v>3257</v>
      </c>
      <c r="G2192" t="str">
        <f>"200909000053"</f>
        <v>200909000053</v>
      </c>
      <c r="H2192">
        <v>1067</v>
      </c>
      <c r="I2192">
        <v>0</v>
      </c>
      <c r="J2192">
        <v>70</v>
      </c>
      <c r="K2192">
        <v>0</v>
      </c>
      <c r="L2192">
        <v>0</v>
      </c>
      <c r="M2192">
        <v>0</v>
      </c>
      <c r="N2192">
        <v>0</v>
      </c>
      <c r="O2192">
        <v>0</v>
      </c>
      <c r="P2192">
        <v>0</v>
      </c>
      <c r="Q2192">
        <v>0</v>
      </c>
      <c r="R2192">
        <v>27</v>
      </c>
      <c r="S2192">
        <v>189</v>
      </c>
      <c r="T2192">
        <v>0</v>
      </c>
      <c r="V2192">
        <v>0</v>
      </c>
      <c r="W2192">
        <v>1326</v>
      </c>
    </row>
    <row r="2193" spans="1:23" x14ac:dyDescent="0.25">
      <c r="H2193">
        <v>703</v>
      </c>
    </row>
    <row r="2194" spans="1:23" x14ac:dyDescent="0.25">
      <c r="A2194">
        <v>1094</v>
      </c>
      <c r="B2194">
        <v>1121</v>
      </c>
      <c r="C2194" t="s">
        <v>2029</v>
      </c>
      <c r="D2194" t="s">
        <v>28</v>
      </c>
      <c r="E2194" t="s">
        <v>24</v>
      </c>
      <c r="F2194" t="s">
        <v>3258</v>
      </c>
      <c r="G2194" t="str">
        <f>"201512001120"</f>
        <v>201512001120</v>
      </c>
      <c r="H2194" t="s">
        <v>3259</v>
      </c>
      <c r="I2194">
        <v>0</v>
      </c>
      <c r="J2194">
        <v>0</v>
      </c>
      <c r="K2194">
        <v>0</v>
      </c>
      <c r="L2194">
        <v>0</v>
      </c>
      <c r="M2194">
        <v>0</v>
      </c>
      <c r="N2194">
        <v>0</v>
      </c>
      <c r="O2194">
        <v>0</v>
      </c>
      <c r="P2194">
        <v>0</v>
      </c>
      <c r="Q2194">
        <v>0</v>
      </c>
      <c r="R2194">
        <v>42</v>
      </c>
      <c r="S2194">
        <v>294</v>
      </c>
      <c r="T2194">
        <v>0</v>
      </c>
      <c r="V2194">
        <v>0</v>
      </c>
      <c r="W2194" t="s">
        <v>3260</v>
      </c>
    </row>
    <row r="2195" spans="1:23" x14ac:dyDescent="0.25">
      <c r="H2195">
        <v>703</v>
      </c>
    </row>
    <row r="2196" spans="1:23" x14ac:dyDescent="0.25">
      <c r="A2196">
        <v>1095</v>
      </c>
      <c r="B2196">
        <v>2586</v>
      </c>
      <c r="C2196" t="s">
        <v>3261</v>
      </c>
      <c r="D2196" t="s">
        <v>3262</v>
      </c>
      <c r="E2196" t="s">
        <v>53</v>
      </c>
      <c r="F2196" t="s">
        <v>3263</v>
      </c>
      <c r="G2196" t="str">
        <f>"201511008176"</f>
        <v>201511008176</v>
      </c>
      <c r="H2196" t="s">
        <v>73</v>
      </c>
      <c r="I2196">
        <v>0</v>
      </c>
      <c r="J2196">
        <v>70</v>
      </c>
      <c r="K2196">
        <v>30</v>
      </c>
      <c r="L2196">
        <v>0</v>
      </c>
      <c r="M2196">
        <v>0</v>
      </c>
      <c r="N2196">
        <v>0</v>
      </c>
      <c r="O2196">
        <v>0</v>
      </c>
      <c r="P2196">
        <v>0</v>
      </c>
      <c r="Q2196">
        <v>0</v>
      </c>
      <c r="R2196">
        <v>25</v>
      </c>
      <c r="S2196">
        <v>175</v>
      </c>
      <c r="T2196">
        <v>0</v>
      </c>
      <c r="V2196">
        <v>0</v>
      </c>
      <c r="W2196" t="s">
        <v>3264</v>
      </c>
    </row>
    <row r="2197" spans="1:23" x14ac:dyDescent="0.25">
      <c r="H2197" t="s">
        <v>70</v>
      </c>
    </row>
    <row r="2198" spans="1:23" x14ac:dyDescent="0.25">
      <c r="A2198">
        <v>1096</v>
      </c>
      <c r="B2198">
        <v>271</v>
      </c>
      <c r="C2198" t="s">
        <v>3265</v>
      </c>
      <c r="D2198" t="s">
        <v>76</v>
      </c>
      <c r="E2198" t="s">
        <v>105</v>
      </c>
      <c r="F2198" t="s">
        <v>3266</v>
      </c>
      <c r="G2198" t="str">
        <f>"201402011877"</f>
        <v>201402011877</v>
      </c>
      <c r="H2198" t="s">
        <v>17</v>
      </c>
      <c r="I2198">
        <v>150</v>
      </c>
      <c r="J2198">
        <v>30</v>
      </c>
      <c r="K2198">
        <v>0</v>
      </c>
      <c r="L2198">
        <v>0</v>
      </c>
      <c r="M2198">
        <v>50</v>
      </c>
      <c r="N2198">
        <v>0</v>
      </c>
      <c r="O2198">
        <v>0</v>
      </c>
      <c r="P2198">
        <v>0</v>
      </c>
      <c r="Q2198">
        <v>0</v>
      </c>
      <c r="R2198">
        <v>0</v>
      </c>
      <c r="S2198">
        <v>0</v>
      </c>
      <c r="T2198">
        <v>0</v>
      </c>
      <c r="V2198">
        <v>2</v>
      </c>
      <c r="W2198" t="s">
        <v>3267</v>
      </c>
    </row>
    <row r="2199" spans="1:23" x14ac:dyDescent="0.25">
      <c r="H2199" t="s">
        <v>70</v>
      </c>
    </row>
    <row r="2200" spans="1:23" x14ac:dyDescent="0.25">
      <c r="A2200">
        <v>1097</v>
      </c>
      <c r="B2200">
        <v>1118</v>
      </c>
      <c r="C2200" t="s">
        <v>2415</v>
      </c>
      <c r="D2200" t="s">
        <v>273</v>
      </c>
      <c r="E2200" t="s">
        <v>227</v>
      </c>
      <c r="F2200" t="s">
        <v>3268</v>
      </c>
      <c r="G2200" t="str">
        <f>"00118809"</f>
        <v>00118809</v>
      </c>
      <c r="H2200" t="s">
        <v>281</v>
      </c>
      <c r="I2200">
        <v>150</v>
      </c>
      <c r="J2200">
        <v>70</v>
      </c>
      <c r="K2200">
        <v>0</v>
      </c>
      <c r="L2200">
        <v>30</v>
      </c>
      <c r="M2200">
        <v>0</v>
      </c>
      <c r="N2200">
        <v>0</v>
      </c>
      <c r="O2200">
        <v>0</v>
      </c>
      <c r="P2200">
        <v>0</v>
      </c>
      <c r="Q2200">
        <v>0</v>
      </c>
      <c r="R2200">
        <v>5</v>
      </c>
      <c r="S2200">
        <v>35</v>
      </c>
      <c r="T2200">
        <v>0</v>
      </c>
      <c r="V2200">
        <v>0</v>
      </c>
      <c r="W2200" t="s">
        <v>3267</v>
      </c>
    </row>
    <row r="2201" spans="1:23" x14ac:dyDescent="0.25">
      <c r="H2201" t="s">
        <v>26</v>
      </c>
    </row>
    <row r="2202" spans="1:23" x14ac:dyDescent="0.25">
      <c r="A2202">
        <v>1098</v>
      </c>
      <c r="B2202">
        <v>1762</v>
      </c>
      <c r="C2202" t="s">
        <v>3269</v>
      </c>
      <c r="D2202" t="s">
        <v>3270</v>
      </c>
      <c r="E2202" t="s">
        <v>322</v>
      </c>
      <c r="F2202" t="s">
        <v>3271</v>
      </c>
      <c r="G2202" t="str">
        <f>"200712001958"</f>
        <v>200712001958</v>
      </c>
      <c r="H2202" t="s">
        <v>1049</v>
      </c>
      <c r="I2202">
        <v>150</v>
      </c>
      <c r="J2202">
        <v>50</v>
      </c>
      <c r="K2202">
        <v>0</v>
      </c>
      <c r="L2202">
        <v>0</v>
      </c>
      <c r="M2202">
        <v>0</v>
      </c>
      <c r="N2202">
        <v>0</v>
      </c>
      <c r="O2202">
        <v>0</v>
      </c>
      <c r="P2202">
        <v>0</v>
      </c>
      <c r="Q2202">
        <v>0</v>
      </c>
      <c r="R2202">
        <v>31</v>
      </c>
      <c r="S2202">
        <v>217</v>
      </c>
      <c r="T2202">
        <v>0</v>
      </c>
      <c r="V2202">
        <v>1</v>
      </c>
      <c r="W2202" t="s">
        <v>3267</v>
      </c>
    </row>
    <row r="2203" spans="1:23" x14ac:dyDescent="0.25">
      <c r="H2203">
        <v>703</v>
      </c>
    </row>
    <row r="2204" spans="1:23" x14ac:dyDescent="0.25">
      <c r="A2204">
        <v>1099</v>
      </c>
      <c r="B2204">
        <v>755</v>
      </c>
      <c r="C2204" t="s">
        <v>3272</v>
      </c>
      <c r="D2204" t="s">
        <v>302</v>
      </c>
      <c r="E2204" t="s">
        <v>15</v>
      </c>
      <c r="F2204" t="s">
        <v>3273</v>
      </c>
      <c r="G2204" t="str">
        <f>"00226331"</f>
        <v>00226331</v>
      </c>
      <c r="H2204" t="s">
        <v>3274</v>
      </c>
      <c r="I2204">
        <v>0</v>
      </c>
      <c r="J2204">
        <v>0</v>
      </c>
      <c r="K2204">
        <v>0</v>
      </c>
      <c r="L2204">
        <v>0</v>
      </c>
      <c r="M2204">
        <v>0</v>
      </c>
      <c r="N2204">
        <v>0</v>
      </c>
      <c r="O2204">
        <v>0</v>
      </c>
      <c r="P2204">
        <v>0</v>
      </c>
      <c r="Q2204">
        <v>0</v>
      </c>
      <c r="R2204">
        <v>84</v>
      </c>
      <c r="S2204">
        <v>588</v>
      </c>
      <c r="T2204">
        <v>0</v>
      </c>
      <c r="V2204">
        <v>0</v>
      </c>
      <c r="W2204" t="s">
        <v>3275</v>
      </c>
    </row>
    <row r="2205" spans="1:23" x14ac:dyDescent="0.25">
      <c r="H2205">
        <v>703</v>
      </c>
    </row>
    <row r="2206" spans="1:23" x14ac:dyDescent="0.25">
      <c r="A2206">
        <v>1100</v>
      </c>
      <c r="B2206">
        <v>41</v>
      </c>
      <c r="C2206" t="s">
        <v>3276</v>
      </c>
      <c r="D2206" t="s">
        <v>293</v>
      </c>
      <c r="E2206" t="s">
        <v>227</v>
      </c>
      <c r="F2206" t="s">
        <v>3277</v>
      </c>
      <c r="G2206" t="str">
        <f>"00108049"</f>
        <v>00108049</v>
      </c>
      <c r="H2206" t="s">
        <v>17</v>
      </c>
      <c r="I2206">
        <v>150</v>
      </c>
      <c r="J2206">
        <v>30</v>
      </c>
      <c r="K2206">
        <v>0</v>
      </c>
      <c r="L2206">
        <v>0</v>
      </c>
      <c r="M2206">
        <v>0</v>
      </c>
      <c r="N2206">
        <v>0</v>
      </c>
      <c r="O2206">
        <v>0</v>
      </c>
      <c r="P2206">
        <v>0</v>
      </c>
      <c r="Q2206">
        <v>0</v>
      </c>
      <c r="R2206">
        <v>7</v>
      </c>
      <c r="S2206">
        <v>49</v>
      </c>
      <c r="T2206">
        <v>0</v>
      </c>
      <c r="V2206">
        <v>0</v>
      </c>
      <c r="W2206" t="s">
        <v>3278</v>
      </c>
    </row>
    <row r="2207" spans="1:23" x14ac:dyDescent="0.25">
      <c r="H2207" t="s">
        <v>26</v>
      </c>
    </row>
    <row r="2208" spans="1:23" x14ac:dyDescent="0.25">
      <c r="A2208">
        <v>1101</v>
      </c>
      <c r="B2208">
        <v>292</v>
      </c>
      <c r="C2208" t="s">
        <v>3279</v>
      </c>
      <c r="D2208" t="s">
        <v>28</v>
      </c>
      <c r="E2208" t="s">
        <v>76</v>
      </c>
      <c r="F2208" t="s">
        <v>3280</v>
      </c>
      <c r="G2208" t="str">
        <f>"201511018979"</f>
        <v>201511018979</v>
      </c>
      <c r="H2208">
        <v>1034</v>
      </c>
      <c r="I2208">
        <v>0</v>
      </c>
      <c r="J2208">
        <v>70</v>
      </c>
      <c r="K2208">
        <v>30</v>
      </c>
      <c r="L2208">
        <v>0</v>
      </c>
      <c r="M2208">
        <v>0</v>
      </c>
      <c r="N2208">
        <v>0</v>
      </c>
      <c r="O2208">
        <v>0</v>
      </c>
      <c r="P2208">
        <v>0</v>
      </c>
      <c r="Q2208">
        <v>0</v>
      </c>
      <c r="R2208">
        <v>27</v>
      </c>
      <c r="S2208">
        <v>189</v>
      </c>
      <c r="T2208">
        <v>0</v>
      </c>
      <c r="V2208">
        <v>2</v>
      </c>
      <c r="W2208">
        <v>1323</v>
      </c>
    </row>
    <row r="2209" spans="1:23" x14ac:dyDescent="0.25">
      <c r="H2209" t="s">
        <v>70</v>
      </c>
    </row>
    <row r="2210" spans="1:23" x14ac:dyDescent="0.25">
      <c r="A2210">
        <v>1102</v>
      </c>
      <c r="B2210">
        <v>2912</v>
      </c>
      <c r="C2210" t="s">
        <v>3281</v>
      </c>
      <c r="D2210" t="s">
        <v>87</v>
      </c>
      <c r="E2210" t="s">
        <v>135</v>
      </c>
      <c r="F2210" t="s">
        <v>3282</v>
      </c>
      <c r="G2210" t="str">
        <f>"201511030440"</f>
        <v>201511030440</v>
      </c>
      <c r="H2210">
        <v>1100</v>
      </c>
      <c r="I2210">
        <v>150</v>
      </c>
      <c r="J2210">
        <v>30</v>
      </c>
      <c r="K2210">
        <v>0</v>
      </c>
      <c r="L2210">
        <v>0</v>
      </c>
      <c r="M2210">
        <v>0</v>
      </c>
      <c r="N2210">
        <v>0</v>
      </c>
      <c r="O2210">
        <v>0</v>
      </c>
      <c r="P2210">
        <v>0</v>
      </c>
      <c r="Q2210">
        <v>0</v>
      </c>
      <c r="R2210">
        <v>6</v>
      </c>
      <c r="S2210">
        <v>42</v>
      </c>
      <c r="T2210">
        <v>0</v>
      </c>
      <c r="V2210">
        <v>0</v>
      </c>
      <c r="W2210">
        <v>1322</v>
      </c>
    </row>
    <row r="2211" spans="1:23" x14ac:dyDescent="0.25">
      <c r="H2211" t="s">
        <v>26</v>
      </c>
    </row>
    <row r="2212" spans="1:23" x14ac:dyDescent="0.25">
      <c r="A2212">
        <v>1103</v>
      </c>
      <c r="B2212">
        <v>1205</v>
      </c>
      <c r="C2212" t="s">
        <v>3283</v>
      </c>
      <c r="D2212" t="s">
        <v>273</v>
      </c>
      <c r="E2212" t="s">
        <v>53</v>
      </c>
      <c r="F2212" t="s">
        <v>3284</v>
      </c>
      <c r="G2212" t="str">
        <f>"00083909"</f>
        <v>00083909</v>
      </c>
      <c r="H2212">
        <v>1012</v>
      </c>
      <c r="I2212">
        <v>0</v>
      </c>
      <c r="J2212">
        <v>30</v>
      </c>
      <c r="K2212">
        <v>0</v>
      </c>
      <c r="L2212">
        <v>0</v>
      </c>
      <c r="M2212">
        <v>0</v>
      </c>
      <c r="N2212">
        <v>0</v>
      </c>
      <c r="O2212">
        <v>0</v>
      </c>
      <c r="P2212">
        <v>0</v>
      </c>
      <c r="Q2212">
        <v>0</v>
      </c>
      <c r="R2212">
        <v>40</v>
      </c>
      <c r="S2212">
        <v>280</v>
      </c>
      <c r="T2212">
        <v>0</v>
      </c>
      <c r="V2212">
        <v>0</v>
      </c>
      <c r="W2212">
        <v>1322</v>
      </c>
    </row>
    <row r="2213" spans="1:23" x14ac:dyDescent="0.25">
      <c r="H2213">
        <v>703</v>
      </c>
    </row>
    <row r="2214" spans="1:23" x14ac:dyDescent="0.25">
      <c r="A2214">
        <v>1104</v>
      </c>
      <c r="B2214">
        <v>2807</v>
      </c>
      <c r="C2214" t="s">
        <v>3285</v>
      </c>
      <c r="D2214" t="s">
        <v>3286</v>
      </c>
      <c r="E2214" t="s">
        <v>53</v>
      </c>
      <c r="F2214" t="s">
        <v>3287</v>
      </c>
      <c r="G2214" t="str">
        <f>"201511029628"</f>
        <v>201511029628</v>
      </c>
      <c r="H2214" t="s">
        <v>1844</v>
      </c>
      <c r="I2214">
        <v>0</v>
      </c>
      <c r="J2214">
        <v>0</v>
      </c>
      <c r="K2214">
        <v>0</v>
      </c>
      <c r="L2214">
        <v>0</v>
      </c>
      <c r="M2214">
        <v>0</v>
      </c>
      <c r="N2214">
        <v>0</v>
      </c>
      <c r="O2214">
        <v>0</v>
      </c>
      <c r="P2214">
        <v>0</v>
      </c>
      <c r="Q2214">
        <v>0</v>
      </c>
      <c r="R2214">
        <v>48</v>
      </c>
      <c r="S2214">
        <v>336</v>
      </c>
      <c r="T2214">
        <v>0</v>
      </c>
      <c r="V2214">
        <v>0</v>
      </c>
      <c r="W2214" t="s">
        <v>3288</v>
      </c>
    </row>
    <row r="2215" spans="1:23" x14ac:dyDescent="0.25">
      <c r="H2215">
        <v>703</v>
      </c>
    </row>
    <row r="2216" spans="1:23" x14ac:dyDescent="0.25">
      <c r="A2216">
        <v>1105</v>
      </c>
      <c r="B2216">
        <v>1459</v>
      </c>
      <c r="C2216" t="s">
        <v>3289</v>
      </c>
      <c r="D2216" t="s">
        <v>610</v>
      </c>
      <c r="E2216" t="s">
        <v>15</v>
      </c>
      <c r="F2216" t="s">
        <v>3290</v>
      </c>
      <c r="G2216" t="str">
        <f>"201511023915"</f>
        <v>201511023915</v>
      </c>
      <c r="H2216" t="s">
        <v>2121</v>
      </c>
      <c r="I2216">
        <v>0</v>
      </c>
      <c r="J2216">
        <v>0</v>
      </c>
      <c r="K2216">
        <v>0</v>
      </c>
      <c r="L2216">
        <v>0</v>
      </c>
      <c r="M2216">
        <v>0</v>
      </c>
      <c r="N2216">
        <v>0</v>
      </c>
      <c r="O2216">
        <v>0</v>
      </c>
      <c r="P2216">
        <v>0</v>
      </c>
      <c r="Q2216">
        <v>0</v>
      </c>
      <c r="R2216">
        <v>54</v>
      </c>
      <c r="S2216">
        <v>378</v>
      </c>
      <c r="T2216">
        <v>0</v>
      </c>
      <c r="V2216">
        <v>0</v>
      </c>
      <c r="W2216" t="s">
        <v>3291</v>
      </c>
    </row>
    <row r="2217" spans="1:23" x14ac:dyDescent="0.25">
      <c r="H2217">
        <v>703</v>
      </c>
    </row>
    <row r="2218" spans="1:23" x14ac:dyDescent="0.25">
      <c r="A2218">
        <v>1106</v>
      </c>
      <c r="B2218">
        <v>1829</v>
      </c>
      <c r="C2218" t="s">
        <v>1130</v>
      </c>
      <c r="D2218" t="s">
        <v>3292</v>
      </c>
      <c r="E2218" t="s">
        <v>91</v>
      </c>
      <c r="F2218" t="s">
        <v>3293</v>
      </c>
      <c r="G2218" t="str">
        <f>"00128157"</f>
        <v>00128157</v>
      </c>
      <c r="H2218" t="s">
        <v>73</v>
      </c>
      <c r="I2218">
        <v>150</v>
      </c>
      <c r="J2218">
        <v>70</v>
      </c>
      <c r="K2218">
        <v>0</v>
      </c>
      <c r="L2218">
        <v>0</v>
      </c>
      <c r="M2218">
        <v>50</v>
      </c>
      <c r="N2218">
        <v>0</v>
      </c>
      <c r="O2218">
        <v>0</v>
      </c>
      <c r="P2218">
        <v>0</v>
      </c>
      <c r="Q2218">
        <v>0</v>
      </c>
      <c r="R2218">
        <v>0</v>
      </c>
      <c r="S2218">
        <v>0</v>
      </c>
      <c r="T2218">
        <v>0</v>
      </c>
      <c r="V2218">
        <v>0</v>
      </c>
      <c r="W2218" t="s">
        <v>3294</v>
      </c>
    </row>
    <row r="2219" spans="1:23" x14ac:dyDescent="0.25">
      <c r="H2219" t="s">
        <v>26</v>
      </c>
    </row>
    <row r="2220" spans="1:23" x14ac:dyDescent="0.25">
      <c r="A2220">
        <v>1107</v>
      </c>
      <c r="B2220">
        <v>2459</v>
      </c>
      <c r="C2220" t="s">
        <v>3295</v>
      </c>
      <c r="D2220" t="s">
        <v>1147</v>
      </c>
      <c r="E2220" t="s">
        <v>76</v>
      </c>
      <c r="F2220" t="s">
        <v>3296</v>
      </c>
      <c r="G2220" t="str">
        <f>"201401001724"</f>
        <v>201401001724</v>
      </c>
      <c r="H2220">
        <v>1100</v>
      </c>
      <c r="I2220">
        <v>150</v>
      </c>
      <c r="J2220">
        <v>70</v>
      </c>
      <c r="K2220">
        <v>0</v>
      </c>
      <c r="L2220">
        <v>0</v>
      </c>
      <c r="M2220">
        <v>0</v>
      </c>
      <c r="N2220">
        <v>0</v>
      </c>
      <c r="O2220">
        <v>0</v>
      </c>
      <c r="P2220">
        <v>0</v>
      </c>
      <c r="Q2220">
        <v>0</v>
      </c>
      <c r="R2220">
        <v>0</v>
      </c>
      <c r="S2220">
        <v>0</v>
      </c>
      <c r="T2220">
        <v>0</v>
      </c>
      <c r="V2220">
        <v>0</v>
      </c>
      <c r="W2220">
        <v>1320</v>
      </c>
    </row>
    <row r="2221" spans="1:23" x14ac:dyDescent="0.25">
      <c r="H2221">
        <v>703</v>
      </c>
    </row>
    <row r="2222" spans="1:23" x14ac:dyDescent="0.25">
      <c r="A2222">
        <v>1108</v>
      </c>
      <c r="B2222">
        <v>2558</v>
      </c>
      <c r="C2222" t="s">
        <v>3297</v>
      </c>
      <c r="D2222" t="s">
        <v>32</v>
      </c>
      <c r="E2222" t="s">
        <v>76</v>
      </c>
      <c r="F2222" t="s">
        <v>3298</v>
      </c>
      <c r="G2222" t="str">
        <f>"201406018760"</f>
        <v>201406018760</v>
      </c>
      <c r="H2222">
        <v>1100</v>
      </c>
      <c r="I2222">
        <v>150</v>
      </c>
      <c r="J2222">
        <v>70</v>
      </c>
      <c r="K2222">
        <v>0</v>
      </c>
      <c r="L2222">
        <v>0</v>
      </c>
      <c r="M2222">
        <v>0</v>
      </c>
      <c r="N2222">
        <v>0</v>
      </c>
      <c r="O2222">
        <v>0</v>
      </c>
      <c r="P2222">
        <v>0</v>
      </c>
      <c r="Q2222">
        <v>0</v>
      </c>
      <c r="R2222">
        <v>0</v>
      </c>
      <c r="S2222">
        <v>0</v>
      </c>
      <c r="T2222">
        <v>0</v>
      </c>
      <c r="V2222">
        <v>2</v>
      </c>
      <c r="W2222">
        <v>1320</v>
      </c>
    </row>
    <row r="2223" spans="1:23" x14ac:dyDescent="0.25">
      <c r="H2223">
        <v>703</v>
      </c>
    </row>
    <row r="2224" spans="1:23" x14ac:dyDescent="0.25">
      <c r="A2224">
        <v>1109</v>
      </c>
      <c r="B2224">
        <v>588</v>
      </c>
      <c r="C2224" t="s">
        <v>3299</v>
      </c>
      <c r="D2224" t="s">
        <v>3300</v>
      </c>
      <c r="E2224" t="s">
        <v>47</v>
      </c>
      <c r="F2224" t="s">
        <v>3301</v>
      </c>
      <c r="G2224" t="str">
        <f>"00023816"</f>
        <v>00023816</v>
      </c>
      <c r="H2224">
        <v>836</v>
      </c>
      <c r="I2224">
        <v>0</v>
      </c>
      <c r="J2224">
        <v>50</v>
      </c>
      <c r="K2224">
        <v>0</v>
      </c>
      <c r="L2224">
        <v>0</v>
      </c>
      <c r="M2224">
        <v>0</v>
      </c>
      <c r="N2224">
        <v>0</v>
      </c>
      <c r="O2224">
        <v>0</v>
      </c>
      <c r="P2224">
        <v>0</v>
      </c>
      <c r="Q2224">
        <v>0</v>
      </c>
      <c r="R2224">
        <v>62</v>
      </c>
      <c r="S2224">
        <v>434</v>
      </c>
      <c r="T2224">
        <v>0</v>
      </c>
      <c r="V2224">
        <v>0</v>
      </c>
      <c r="W2224">
        <v>1320</v>
      </c>
    </row>
    <row r="2225" spans="1:23" x14ac:dyDescent="0.25">
      <c r="H2225">
        <v>703</v>
      </c>
    </row>
    <row r="2226" spans="1:23" x14ac:dyDescent="0.25">
      <c r="A2226">
        <v>1110</v>
      </c>
      <c r="B2226">
        <v>2785</v>
      </c>
      <c r="C2226" t="s">
        <v>3302</v>
      </c>
      <c r="D2226" t="s">
        <v>53</v>
      </c>
      <c r="E2226" t="s">
        <v>53</v>
      </c>
      <c r="F2226" t="s">
        <v>3303</v>
      </c>
      <c r="G2226" t="str">
        <f>"200712000114"</f>
        <v>200712000114</v>
      </c>
      <c r="H2226" t="s">
        <v>217</v>
      </c>
      <c r="I2226">
        <v>0</v>
      </c>
      <c r="J2226">
        <v>70</v>
      </c>
      <c r="K2226">
        <v>30</v>
      </c>
      <c r="L2226">
        <v>0</v>
      </c>
      <c r="M2226">
        <v>30</v>
      </c>
      <c r="N2226">
        <v>0</v>
      </c>
      <c r="O2226">
        <v>0</v>
      </c>
      <c r="P2226">
        <v>0</v>
      </c>
      <c r="Q2226">
        <v>0</v>
      </c>
      <c r="R2226">
        <v>34</v>
      </c>
      <c r="S2226">
        <v>238</v>
      </c>
      <c r="T2226">
        <v>0</v>
      </c>
      <c r="V2226">
        <v>0</v>
      </c>
      <c r="W2226" t="s">
        <v>3304</v>
      </c>
    </row>
    <row r="2227" spans="1:23" x14ac:dyDescent="0.25">
      <c r="H2227" t="s">
        <v>70</v>
      </c>
    </row>
    <row r="2228" spans="1:23" x14ac:dyDescent="0.25">
      <c r="A2228">
        <v>1111</v>
      </c>
      <c r="B2228">
        <v>291</v>
      </c>
      <c r="C2228" t="s">
        <v>1727</v>
      </c>
      <c r="D2228" t="s">
        <v>3305</v>
      </c>
      <c r="E2228" t="s">
        <v>53</v>
      </c>
      <c r="F2228" t="s">
        <v>3306</v>
      </c>
      <c r="G2228" t="str">
        <f>"00225476"</f>
        <v>00225476</v>
      </c>
      <c r="H2228" t="s">
        <v>1001</v>
      </c>
      <c r="I2228">
        <v>150</v>
      </c>
      <c r="J2228">
        <v>0</v>
      </c>
      <c r="K2228">
        <v>0</v>
      </c>
      <c r="L2228">
        <v>0</v>
      </c>
      <c r="M2228">
        <v>0</v>
      </c>
      <c r="N2228">
        <v>0</v>
      </c>
      <c r="O2228">
        <v>0</v>
      </c>
      <c r="P2228">
        <v>0</v>
      </c>
      <c r="Q2228">
        <v>0</v>
      </c>
      <c r="R2228">
        <v>39</v>
      </c>
      <c r="S2228">
        <v>273</v>
      </c>
      <c r="T2228">
        <v>0</v>
      </c>
      <c r="V2228">
        <v>0</v>
      </c>
      <c r="W2228" t="s">
        <v>3304</v>
      </c>
    </row>
    <row r="2229" spans="1:23" x14ac:dyDescent="0.25">
      <c r="H2229">
        <v>703</v>
      </c>
    </row>
    <row r="2230" spans="1:23" x14ac:dyDescent="0.25">
      <c r="A2230">
        <v>1112</v>
      </c>
      <c r="B2230">
        <v>1425</v>
      </c>
      <c r="C2230" t="s">
        <v>3307</v>
      </c>
      <c r="D2230" t="s">
        <v>135</v>
      </c>
      <c r="E2230" t="s">
        <v>3308</v>
      </c>
      <c r="F2230" t="s">
        <v>3309</v>
      </c>
      <c r="G2230" t="str">
        <f>"00228500"</f>
        <v>00228500</v>
      </c>
      <c r="H2230">
        <v>913</v>
      </c>
      <c r="I2230">
        <v>0</v>
      </c>
      <c r="J2230">
        <v>70</v>
      </c>
      <c r="K2230">
        <v>0</v>
      </c>
      <c r="L2230">
        <v>0</v>
      </c>
      <c r="M2230">
        <v>0</v>
      </c>
      <c r="N2230">
        <v>0</v>
      </c>
      <c r="O2230">
        <v>0</v>
      </c>
      <c r="P2230">
        <v>0</v>
      </c>
      <c r="Q2230">
        <v>0</v>
      </c>
      <c r="R2230">
        <v>48</v>
      </c>
      <c r="S2230">
        <v>336</v>
      </c>
      <c r="T2230">
        <v>0</v>
      </c>
      <c r="V2230">
        <v>0</v>
      </c>
      <c r="W2230">
        <v>1319</v>
      </c>
    </row>
    <row r="2231" spans="1:23" x14ac:dyDescent="0.25">
      <c r="H2231">
        <v>703</v>
      </c>
    </row>
    <row r="2232" spans="1:23" x14ac:dyDescent="0.25">
      <c r="A2232">
        <v>1113</v>
      </c>
      <c r="B2232">
        <v>2802</v>
      </c>
      <c r="C2232" t="s">
        <v>3310</v>
      </c>
      <c r="D2232" t="s">
        <v>185</v>
      </c>
      <c r="E2232" t="s">
        <v>76</v>
      </c>
      <c r="F2232" t="s">
        <v>3311</v>
      </c>
      <c r="G2232" t="str">
        <f>"00225582"</f>
        <v>00225582</v>
      </c>
      <c r="H2232" t="s">
        <v>93</v>
      </c>
      <c r="I2232">
        <v>150</v>
      </c>
      <c r="J2232">
        <v>0</v>
      </c>
      <c r="K2232">
        <v>0</v>
      </c>
      <c r="L2232">
        <v>0</v>
      </c>
      <c r="M2232">
        <v>0</v>
      </c>
      <c r="N2232">
        <v>0</v>
      </c>
      <c r="O2232">
        <v>0</v>
      </c>
      <c r="P2232">
        <v>0</v>
      </c>
      <c r="Q2232">
        <v>0</v>
      </c>
      <c r="R2232">
        <v>12</v>
      </c>
      <c r="S2232">
        <v>84</v>
      </c>
      <c r="T2232">
        <v>0</v>
      </c>
      <c r="V2232">
        <v>0</v>
      </c>
      <c r="W2232" t="s">
        <v>3312</v>
      </c>
    </row>
    <row r="2233" spans="1:23" x14ac:dyDescent="0.25">
      <c r="H2233">
        <v>703</v>
      </c>
    </row>
    <row r="2234" spans="1:23" x14ac:dyDescent="0.25">
      <c r="A2234">
        <v>1114</v>
      </c>
      <c r="B2234">
        <v>2207</v>
      </c>
      <c r="C2234" t="s">
        <v>456</v>
      </c>
      <c r="D2234" t="s">
        <v>273</v>
      </c>
      <c r="E2234" t="s">
        <v>1440</v>
      </c>
      <c r="F2234" t="s">
        <v>3313</v>
      </c>
      <c r="G2234" t="str">
        <f>"00161941"</f>
        <v>00161941</v>
      </c>
      <c r="H2234">
        <v>968</v>
      </c>
      <c r="I2234">
        <v>0</v>
      </c>
      <c r="J2234">
        <v>0</v>
      </c>
      <c r="K2234">
        <v>0</v>
      </c>
      <c r="L2234">
        <v>0</v>
      </c>
      <c r="M2234">
        <v>0</v>
      </c>
      <c r="N2234">
        <v>0</v>
      </c>
      <c r="O2234">
        <v>0</v>
      </c>
      <c r="P2234">
        <v>0</v>
      </c>
      <c r="Q2234">
        <v>0</v>
      </c>
      <c r="R2234">
        <v>50</v>
      </c>
      <c r="S2234">
        <v>350</v>
      </c>
      <c r="T2234">
        <v>0</v>
      </c>
      <c r="V2234">
        <v>0</v>
      </c>
      <c r="W2234">
        <v>1318</v>
      </c>
    </row>
    <row r="2235" spans="1:23" x14ac:dyDescent="0.25">
      <c r="H2235">
        <v>703</v>
      </c>
    </row>
    <row r="2236" spans="1:23" x14ac:dyDescent="0.25">
      <c r="A2236">
        <v>1115</v>
      </c>
      <c r="B2236">
        <v>1181</v>
      </c>
      <c r="C2236" t="s">
        <v>3314</v>
      </c>
      <c r="D2236" t="s">
        <v>527</v>
      </c>
      <c r="E2236" t="s">
        <v>113</v>
      </c>
      <c r="F2236" t="s">
        <v>3315</v>
      </c>
      <c r="G2236" t="str">
        <f>"201402004385"</f>
        <v>201402004385</v>
      </c>
      <c r="H2236">
        <v>550</v>
      </c>
      <c r="I2236">
        <v>150</v>
      </c>
      <c r="J2236">
        <v>30</v>
      </c>
      <c r="K2236">
        <v>0</v>
      </c>
      <c r="L2236">
        <v>0</v>
      </c>
      <c r="M2236">
        <v>0</v>
      </c>
      <c r="N2236">
        <v>0</v>
      </c>
      <c r="O2236">
        <v>0</v>
      </c>
      <c r="P2236">
        <v>0</v>
      </c>
      <c r="Q2236">
        <v>0</v>
      </c>
      <c r="R2236">
        <v>84</v>
      </c>
      <c r="S2236">
        <v>588</v>
      </c>
      <c r="T2236">
        <v>0</v>
      </c>
      <c r="V2236">
        <v>1</v>
      </c>
      <c r="W2236">
        <v>1318</v>
      </c>
    </row>
    <row r="2237" spans="1:23" x14ac:dyDescent="0.25">
      <c r="H2237">
        <v>703</v>
      </c>
    </row>
    <row r="2238" spans="1:23" x14ac:dyDescent="0.25">
      <c r="A2238">
        <v>1116</v>
      </c>
      <c r="B2238">
        <v>2681</v>
      </c>
      <c r="C2238" t="s">
        <v>1396</v>
      </c>
      <c r="D2238" t="s">
        <v>112</v>
      </c>
      <c r="E2238" t="s">
        <v>1818</v>
      </c>
      <c r="F2238" t="s">
        <v>3316</v>
      </c>
      <c r="G2238" t="str">
        <f>"201511030629"</f>
        <v>201511030629</v>
      </c>
      <c r="H2238" t="s">
        <v>3317</v>
      </c>
      <c r="I2238">
        <v>0</v>
      </c>
      <c r="J2238">
        <v>0</v>
      </c>
      <c r="K2238">
        <v>0</v>
      </c>
      <c r="L2238">
        <v>0</v>
      </c>
      <c r="M2238">
        <v>0</v>
      </c>
      <c r="N2238">
        <v>0</v>
      </c>
      <c r="O2238">
        <v>0</v>
      </c>
      <c r="P2238">
        <v>0</v>
      </c>
      <c r="Q2238">
        <v>0</v>
      </c>
      <c r="R2238">
        <v>84</v>
      </c>
      <c r="S2238">
        <v>588</v>
      </c>
      <c r="T2238">
        <v>0</v>
      </c>
      <c r="V2238">
        <v>0</v>
      </c>
      <c r="W2238" t="s">
        <v>3318</v>
      </c>
    </row>
    <row r="2239" spans="1:23" x14ac:dyDescent="0.25">
      <c r="H2239">
        <v>703</v>
      </c>
    </row>
    <row r="2240" spans="1:23" x14ac:dyDescent="0.25">
      <c r="A2240">
        <v>1117</v>
      </c>
      <c r="B2240">
        <v>1681</v>
      </c>
      <c r="C2240" t="s">
        <v>3319</v>
      </c>
      <c r="D2240" t="s">
        <v>40</v>
      </c>
      <c r="E2240" t="s">
        <v>135</v>
      </c>
      <c r="F2240" t="s">
        <v>3320</v>
      </c>
      <c r="G2240" t="str">
        <f>"00147463"</f>
        <v>00147463</v>
      </c>
      <c r="H2240">
        <v>902</v>
      </c>
      <c r="I2240">
        <v>0</v>
      </c>
      <c r="J2240">
        <v>30</v>
      </c>
      <c r="K2240">
        <v>0</v>
      </c>
      <c r="L2240">
        <v>0</v>
      </c>
      <c r="M2240">
        <v>0</v>
      </c>
      <c r="N2240">
        <v>0</v>
      </c>
      <c r="O2240">
        <v>0</v>
      </c>
      <c r="P2240">
        <v>0</v>
      </c>
      <c r="Q2240">
        <v>0</v>
      </c>
      <c r="R2240">
        <v>55</v>
      </c>
      <c r="S2240">
        <v>385</v>
      </c>
      <c r="T2240">
        <v>0</v>
      </c>
      <c r="V2240">
        <v>0</v>
      </c>
      <c r="W2240">
        <v>1317</v>
      </c>
    </row>
    <row r="2241" spans="1:23" x14ac:dyDescent="0.25">
      <c r="H2241">
        <v>703</v>
      </c>
    </row>
    <row r="2242" spans="1:23" x14ac:dyDescent="0.25">
      <c r="A2242">
        <v>1118</v>
      </c>
      <c r="B2242">
        <v>1574</v>
      </c>
      <c r="C2242" t="s">
        <v>3321</v>
      </c>
      <c r="D2242" t="s">
        <v>134</v>
      </c>
      <c r="E2242" t="s">
        <v>1633</v>
      </c>
      <c r="F2242" t="s">
        <v>3322</v>
      </c>
      <c r="G2242" t="str">
        <f>"00123663"</f>
        <v>00123663</v>
      </c>
      <c r="H2242">
        <v>836</v>
      </c>
      <c r="I2242">
        <v>150</v>
      </c>
      <c r="J2242">
        <v>30</v>
      </c>
      <c r="K2242">
        <v>0</v>
      </c>
      <c r="L2242">
        <v>0</v>
      </c>
      <c r="M2242">
        <v>0</v>
      </c>
      <c r="N2242">
        <v>0</v>
      </c>
      <c r="O2242">
        <v>0</v>
      </c>
      <c r="P2242">
        <v>0</v>
      </c>
      <c r="Q2242">
        <v>0</v>
      </c>
      <c r="R2242">
        <v>43</v>
      </c>
      <c r="S2242">
        <v>301</v>
      </c>
      <c r="T2242">
        <v>0</v>
      </c>
      <c r="V2242">
        <v>0</v>
      </c>
      <c r="W2242">
        <v>1317</v>
      </c>
    </row>
    <row r="2243" spans="1:23" x14ac:dyDescent="0.25">
      <c r="H2243">
        <v>703</v>
      </c>
    </row>
    <row r="2244" spans="1:23" x14ac:dyDescent="0.25">
      <c r="A2244">
        <v>1119</v>
      </c>
      <c r="B2244">
        <v>2868</v>
      </c>
      <c r="C2244" t="s">
        <v>3323</v>
      </c>
      <c r="D2244" t="s">
        <v>293</v>
      </c>
      <c r="E2244" t="s">
        <v>109</v>
      </c>
      <c r="F2244" t="s">
        <v>3324</v>
      </c>
      <c r="G2244" t="str">
        <f>"00228297"</f>
        <v>00228297</v>
      </c>
      <c r="H2244" t="s">
        <v>3325</v>
      </c>
      <c r="I2244">
        <v>150</v>
      </c>
      <c r="J2244">
        <v>30</v>
      </c>
      <c r="K2244">
        <v>0</v>
      </c>
      <c r="L2244">
        <v>0</v>
      </c>
      <c r="M2244">
        <v>0</v>
      </c>
      <c r="N2244">
        <v>0</v>
      </c>
      <c r="O2244">
        <v>0</v>
      </c>
      <c r="P2244">
        <v>0</v>
      </c>
      <c r="Q2244">
        <v>0</v>
      </c>
      <c r="R2244">
        <v>53</v>
      </c>
      <c r="S2244">
        <v>371</v>
      </c>
      <c r="T2244">
        <v>0</v>
      </c>
      <c r="V2244">
        <v>0</v>
      </c>
      <c r="W2244" t="s">
        <v>3326</v>
      </c>
    </row>
    <row r="2245" spans="1:23" x14ac:dyDescent="0.25">
      <c r="H2245">
        <v>703</v>
      </c>
    </row>
    <row r="2246" spans="1:23" x14ac:dyDescent="0.25">
      <c r="A2246">
        <v>1120</v>
      </c>
      <c r="B2246">
        <v>3065</v>
      </c>
      <c r="C2246" t="s">
        <v>3327</v>
      </c>
      <c r="D2246" t="s">
        <v>273</v>
      </c>
      <c r="E2246" t="s">
        <v>76</v>
      </c>
      <c r="F2246" t="s">
        <v>3328</v>
      </c>
      <c r="G2246" t="str">
        <f>"201406006296"</f>
        <v>201406006296</v>
      </c>
      <c r="H2246">
        <v>880</v>
      </c>
      <c r="I2246">
        <v>0</v>
      </c>
      <c r="J2246">
        <v>30</v>
      </c>
      <c r="K2246">
        <v>0</v>
      </c>
      <c r="L2246">
        <v>0</v>
      </c>
      <c r="M2246">
        <v>0</v>
      </c>
      <c r="N2246">
        <v>0</v>
      </c>
      <c r="O2246">
        <v>0</v>
      </c>
      <c r="P2246">
        <v>0</v>
      </c>
      <c r="Q2246">
        <v>0</v>
      </c>
      <c r="R2246">
        <v>58</v>
      </c>
      <c r="S2246">
        <v>406</v>
      </c>
      <c r="T2246">
        <v>0</v>
      </c>
      <c r="V2246">
        <v>0</v>
      </c>
      <c r="W2246">
        <v>1316</v>
      </c>
    </row>
    <row r="2247" spans="1:23" x14ac:dyDescent="0.25">
      <c r="H2247">
        <v>703</v>
      </c>
    </row>
    <row r="2248" spans="1:23" x14ac:dyDescent="0.25">
      <c r="A2248">
        <v>1121</v>
      </c>
      <c r="B2248">
        <v>629</v>
      </c>
      <c r="C2248" t="s">
        <v>3329</v>
      </c>
      <c r="D2248" t="s">
        <v>3330</v>
      </c>
      <c r="E2248" t="s">
        <v>303</v>
      </c>
      <c r="F2248" t="s">
        <v>3331</v>
      </c>
      <c r="G2248" t="str">
        <f>"00225035"</f>
        <v>00225035</v>
      </c>
      <c r="H2248">
        <v>1045</v>
      </c>
      <c r="I2248">
        <v>150</v>
      </c>
      <c r="J2248">
        <v>70</v>
      </c>
      <c r="K2248">
        <v>0</v>
      </c>
      <c r="L2248">
        <v>50</v>
      </c>
      <c r="M2248">
        <v>0</v>
      </c>
      <c r="N2248">
        <v>0</v>
      </c>
      <c r="O2248">
        <v>0</v>
      </c>
      <c r="P2248">
        <v>0</v>
      </c>
      <c r="Q2248">
        <v>0</v>
      </c>
      <c r="R2248">
        <v>0</v>
      </c>
      <c r="S2248">
        <v>0</v>
      </c>
      <c r="T2248">
        <v>0</v>
      </c>
      <c r="V2248">
        <v>2</v>
      </c>
      <c r="W2248">
        <v>1315</v>
      </c>
    </row>
    <row r="2249" spans="1:23" x14ac:dyDescent="0.25">
      <c r="H2249">
        <v>703</v>
      </c>
    </row>
    <row r="2250" spans="1:23" x14ac:dyDescent="0.25">
      <c r="A2250">
        <v>1122</v>
      </c>
      <c r="B2250">
        <v>193</v>
      </c>
      <c r="C2250" t="s">
        <v>3332</v>
      </c>
      <c r="D2250" t="s">
        <v>597</v>
      </c>
      <c r="E2250" t="s">
        <v>21</v>
      </c>
      <c r="F2250" t="s">
        <v>3333</v>
      </c>
      <c r="G2250" t="str">
        <f>"00220672"</f>
        <v>00220672</v>
      </c>
      <c r="H2250">
        <v>990</v>
      </c>
      <c r="I2250">
        <v>150</v>
      </c>
      <c r="J2250">
        <v>0</v>
      </c>
      <c r="K2250">
        <v>0</v>
      </c>
      <c r="L2250">
        <v>0</v>
      </c>
      <c r="M2250">
        <v>0</v>
      </c>
      <c r="N2250">
        <v>0</v>
      </c>
      <c r="O2250">
        <v>0</v>
      </c>
      <c r="P2250">
        <v>0</v>
      </c>
      <c r="Q2250">
        <v>0</v>
      </c>
      <c r="R2250">
        <v>25</v>
      </c>
      <c r="S2250">
        <v>175</v>
      </c>
      <c r="T2250">
        <v>0</v>
      </c>
      <c r="V2250">
        <v>0</v>
      </c>
      <c r="W2250">
        <v>1315</v>
      </c>
    </row>
    <row r="2251" spans="1:23" x14ac:dyDescent="0.25">
      <c r="H2251" t="s">
        <v>26</v>
      </c>
    </row>
    <row r="2252" spans="1:23" x14ac:dyDescent="0.25">
      <c r="A2252">
        <v>1123</v>
      </c>
      <c r="B2252">
        <v>3014</v>
      </c>
      <c r="C2252" t="s">
        <v>3334</v>
      </c>
      <c r="D2252" t="s">
        <v>406</v>
      </c>
      <c r="E2252" t="s">
        <v>1633</v>
      </c>
      <c r="F2252" t="s">
        <v>3335</v>
      </c>
      <c r="G2252" t="str">
        <f>"201511027517"</f>
        <v>201511027517</v>
      </c>
      <c r="H2252" t="s">
        <v>17</v>
      </c>
      <c r="I2252">
        <v>150</v>
      </c>
      <c r="J2252">
        <v>70</v>
      </c>
      <c r="K2252">
        <v>0</v>
      </c>
      <c r="L2252">
        <v>0</v>
      </c>
      <c r="M2252">
        <v>0</v>
      </c>
      <c r="N2252">
        <v>0</v>
      </c>
      <c r="O2252">
        <v>0</v>
      </c>
      <c r="P2252">
        <v>0</v>
      </c>
      <c r="Q2252">
        <v>0</v>
      </c>
      <c r="R2252">
        <v>0</v>
      </c>
      <c r="S2252">
        <v>0</v>
      </c>
      <c r="T2252">
        <v>0</v>
      </c>
      <c r="V2252">
        <v>0</v>
      </c>
      <c r="W2252" t="s">
        <v>3336</v>
      </c>
    </row>
    <row r="2253" spans="1:23" x14ac:dyDescent="0.25">
      <c r="H2253">
        <v>703</v>
      </c>
    </row>
    <row r="2254" spans="1:23" x14ac:dyDescent="0.25">
      <c r="A2254">
        <v>1124</v>
      </c>
      <c r="B2254">
        <v>1736</v>
      </c>
      <c r="C2254" t="s">
        <v>1113</v>
      </c>
      <c r="D2254" t="s">
        <v>355</v>
      </c>
      <c r="E2254" t="s">
        <v>109</v>
      </c>
      <c r="F2254" t="s">
        <v>3337</v>
      </c>
      <c r="G2254" t="str">
        <f>"00039341"</f>
        <v>00039341</v>
      </c>
      <c r="H2254" t="s">
        <v>3338</v>
      </c>
      <c r="I2254">
        <v>0</v>
      </c>
      <c r="J2254">
        <v>50</v>
      </c>
      <c r="K2254">
        <v>0</v>
      </c>
      <c r="L2254">
        <v>0</v>
      </c>
      <c r="M2254">
        <v>0</v>
      </c>
      <c r="N2254">
        <v>0</v>
      </c>
      <c r="O2254">
        <v>0</v>
      </c>
      <c r="P2254">
        <v>0</v>
      </c>
      <c r="Q2254">
        <v>0</v>
      </c>
      <c r="R2254">
        <v>84</v>
      </c>
      <c r="S2254">
        <v>588</v>
      </c>
      <c r="T2254">
        <v>0</v>
      </c>
      <c r="V2254">
        <v>0</v>
      </c>
      <c r="W2254" t="s">
        <v>3336</v>
      </c>
    </row>
    <row r="2255" spans="1:23" x14ac:dyDescent="0.25">
      <c r="H2255" t="s">
        <v>26</v>
      </c>
    </row>
    <row r="2256" spans="1:23" x14ac:dyDescent="0.25">
      <c r="A2256">
        <v>1125</v>
      </c>
      <c r="B2256">
        <v>2088</v>
      </c>
      <c r="C2256" t="s">
        <v>3339</v>
      </c>
      <c r="D2256" t="s">
        <v>273</v>
      </c>
      <c r="E2256" t="s">
        <v>91</v>
      </c>
      <c r="F2256" t="s">
        <v>3340</v>
      </c>
      <c r="G2256" t="str">
        <f>"00146413"</f>
        <v>00146413</v>
      </c>
      <c r="H2256">
        <v>1100</v>
      </c>
      <c r="I2256">
        <v>0</v>
      </c>
      <c r="J2256">
        <v>30</v>
      </c>
      <c r="K2256">
        <v>0</v>
      </c>
      <c r="L2256">
        <v>50</v>
      </c>
      <c r="M2256">
        <v>0</v>
      </c>
      <c r="N2256">
        <v>0</v>
      </c>
      <c r="O2256">
        <v>0</v>
      </c>
      <c r="P2256">
        <v>0</v>
      </c>
      <c r="Q2256">
        <v>0</v>
      </c>
      <c r="R2256">
        <v>19</v>
      </c>
      <c r="S2256">
        <v>133</v>
      </c>
      <c r="T2256">
        <v>0</v>
      </c>
      <c r="V2256">
        <v>2</v>
      </c>
      <c r="W2256">
        <v>1313</v>
      </c>
    </row>
    <row r="2257" spans="1:23" x14ac:dyDescent="0.25">
      <c r="H2257" t="s">
        <v>26</v>
      </c>
    </row>
    <row r="2258" spans="1:23" x14ac:dyDescent="0.25">
      <c r="A2258">
        <v>1126</v>
      </c>
      <c r="B2258">
        <v>2399</v>
      </c>
      <c r="C2258" t="s">
        <v>3341</v>
      </c>
      <c r="D2258" t="s">
        <v>91</v>
      </c>
      <c r="E2258" t="s">
        <v>227</v>
      </c>
      <c r="F2258" t="s">
        <v>3342</v>
      </c>
      <c r="G2258" t="str">
        <f>"201511008896"</f>
        <v>201511008896</v>
      </c>
      <c r="H2258">
        <v>946</v>
      </c>
      <c r="I2258">
        <v>0</v>
      </c>
      <c r="J2258">
        <v>30</v>
      </c>
      <c r="K2258">
        <v>0</v>
      </c>
      <c r="L2258">
        <v>0</v>
      </c>
      <c r="M2258">
        <v>0</v>
      </c>
      <c r="N2258">
        <v>0</v>
      </c>
      <c r="O2258">
        <v>0</v>
      </c>
      <c r="P2258">
        <v>0</v>
      </c>
      <c r="Q2258">
        <v>0</v>
      </c>
      <c r="R2258">
        <v>48</v>
      </c>
      <c r="S2258">
        <v>336</v>
      </c>
      <c r="T2258">
        <v>0</v>
      </c>
      <c r="V2258">
        <v>0</v>
      </c>
      <c r="W2258">
        <v>1312</v>
      </c>
    </row>
    <row r="2259" spans="1:23" x14ac:dyDescent="0.25">
      <c r="H2259">
        <v>703</v>
      </c>
    </row>
    <row r="2260" spans="1:23" x14ac:dyDescent="0.25">
      <c r="A2260">
        <v>1127</v>
      </c>
      <c r="B2260">
        <v>1051</v>
      </c>
      <c r="C2260" t="s">
        <v>3343</v>
      </c>
      <c r="D2260" t="s">
        <v>155</v>
      </c>
      <c r="E2260" t="s">
        <v>227</v>
      </c>
      <c r="F2260" t="s">
        <v>3344</v>
      </c>
      <c r="G2260" t="str">
        <f>"00163046"</f>
        <v>00163046</v>
      </c>
      <c r="H2260" t="s">
        <v>3345</v>
      </c>
      <c r="I2260">
        <v>0</v>
      </c>
      <c r="J2260">
        <v>0</v>
      </c>
      <c r="K2260">
        <v>0</v>
      </c>
      <c r="L2260">
        <v>0</v>
      </c>
      <c r="M2260">
        <v>0</v>
      </c>
      <c r="N2260">
        <v>0</v>
      </c>
      <c r="O2260">
        <v>0</v>
      </c>
      <c r="P2260">
        <v>0</v>
      </c>
      <c r="Q2260">
        <v>0</v>
      </c>
      <c r="R2260">
        <v>84</v>
      </c>
      <c r="S2260">
        <v>588</v>
      </c>
      <c r="T2260">
        <v>0</v>
      </c>
      <c r="V2260">
        <v>0</v>
      </c>
      <c r="W2260" t="s">
        <v>3346</v>
      </c>
    </row>
    <row r="2261" spans="1:23" x14ac:dyDescent="0.25">
      <c r="H2261">
        <v>703</v>
      </c>
    </row>
    <row r="2262" spans="1:23" x14ac:dyDescent="0.25">
      <c r="A2262">
        <v>1128</v>
      </c>
      <c r="B2262">
        <v>634</v>
      </c>
      <c r="C2262" t="s">
        <v>3347</v>
      </c>
      <c r="D2262" t="s">
        <v>20</v>
      </c>
      <c r="E2262" t="s">
        <v>53</v>
      </c>
      <c r="F2262" t="s">
        <v>3348</v>
      </c>
      <c r="G2262" t="str">
        <f>"00144797"</f>
        <v>00144797</v>
      </c>
      <c r="H2262" t="s">
        <v>93</v>
      </c>
      <c r="I2262">
        <v>150</v>
      </c>
      <c r="J2262">
        <v>0</v>
      </c>
      <c r="K2262">
        <v>0</v>
      </c>
      <c r="L2262">
        <v>0</v>
      </c>
      <c r="M2262">
        <v>0</v>
      </c>
      <c r="N2262">
        <v>0</v>
      </c>
      <c r="O2262">
        <v>0</v>
      </c>
      <c r="P2262">
        <v>0</v>
      </c>
      <c r="Q2262">
        <v>0</v>
      </c>
      <c r="R2262">
        <v>11</v>
      </c>
      <c r="S2262">
        <v>77</v>
      </c>
      <c r="T2262">
        <v>0</v>
      </c>
      <c r="V2262">
        <v>0</v>
      </c>
      <c r="W2262" t="s">
        <v>3349</v>
      </c>
    </row>
    <row r="2263" spans="1:23" x14ac:dyDescent="0.25">
      <c r="H2263">
        <v>703</v>
      </c>
    </row>
    <row r="2264" spans="1:23" x14ac:dyDescent="0.25">
      <c r="A2264">
        <v>1129</v>
      </c>
      <c r="B2264">
        <v>3090</v>
      </c>
      <c r="C2264" t="s">
        <v>3350</v>
      </c>
      <c r="D2264" t="s">
        <v>2677</v>
      </c>
      <c r="E2264" t="s">
        <v>21</v>
      </c>
      <c r="F2264" t="s">
        <v>3351</v>
      </c>
      <c r="G2264" t="str">
        <f>"00140976"</f>
        <v>00140976</v>
      </c>
      <c r="H2264">
        <v>935</v>
      </c>
      <c r="I2264">
        <v>150</v>
      </c>
      <c r="J2264">
        <v>30</v>
      </c>
      <c r="K2264">
        <v>0</v>
      </c>
      <c r="L2264">
        <v>0</v>
      </c>
      <c r="M2264">
        <v>0</v>
      </c>
      <c r="N2264">
        <v>0</v>
      </c>
      <c r="O2264">
        <v>0</v>
      </c>
      <c r="P2264">
        <v>0</v>
      </c>
      <c r="Q2264">
        <v>0</v>
      </c>
      <c r="R2264">
        <v>28</v>
      </c>
      <c r="S2264">
        <v>196</v>
      </c>
      <c r="T2264">
        <v>0</v>
      </c>
      <c r="V2264">
        <v>0</v>
      </c>
      <c r="W2264">
        <v>1311</v>
      </c>
    </row>
    <row r="2265" spans="1:23" x14ac:dyDescent="0.25">
      <c r="H2265">
        <v>703</v>
      </c>
    </row>
    <row r="2266" spans="1:23" x14ac:dyDescent="0.25">
      <c r="A2266">
        <v>1130</v>
      </c>
      <c r="B2266">
        <v>2527</v>
      </c>
      <c r="C2266" t="s">
        <v>3352</v>
      </c>
      <c r="D2266" t="s">
        <v>67</v>
      </c>
      <c r="E2266" t="s">
        <v>47</v>
      </c>
      <c r="F2266" t="s">
        <v>3353</v>
      </c>
      <c r="G2266" t="str">
        <f>"200801009879"</f>
        <v>200801009879</v>
      </c>
      <c r="H2266" t="s">
        <v>187</v>
      </c>
      <c r="I2266">
        <v>0</v>
      </c>
      <c r="J2266">
        <v>30</v>
      </c>
      <c r="K2266">
        <v>0</v>
      </c>
      <c r="L2266">
        <v>0</v>
      </c>
      <c r="M2266">
        <v>0</v>
      </c>
      <c r="N2266">
        <v>0</v>
      </c>
      <c r="O2266">
        <v>0</v>
      </c>
      <c r="P2266">
        <v>0</v>
      </c>
      <c r="Q2266">
        <v>0</v>
      </c>
      <c r="R2266">
        <v>36</v>
      </c>
      <c r="S2266">
        <v>252</v>
      </c>
      <c r="T2266">
        <v>0</v>
      </c>
      <c r="V2266">
        <v>0</v>
      </c>
      <c r="W2266" t="s">
        <v>3354</v>
      </c>
    </row>
    <row r="2267" spans="1:23" x14ac:dyDescent="0.25">
      <c r="H2267">
        <v>703</v>
      </c>
    </row>
    <row r="2268" spans="1:23" x14ac:dyDescent="0.25">
      <c r="A2268">
        <v>1131</v>
      </c>
      <c r="B2268">
        <v>637</v>
      </c>
      <c r="C2268" t="s">
        <v>3355</v>
      </c>
      <c r="D2268" t="s">
        <v>273</v>
      </c>
      <c r="E2268" t="s">
        <v>91</v>
      </c>
      <c r="F2268" t="s">
        <v>3356</v>
      </c>
      <c r="G2268" t="str">
        <f>"201412004975"</f>
        <v>201412004975</v>
      </c>
      <c r="H2268" t="s">
        <v>480</v>
      </c>
      <c r="I2268">
        <v>0</v>
      </c>
      <c r="J2268">
        <v>30</v>
      </c>
      <c r="K2268">
        <v>0</v>
      </c>
      <c r="L2268">
        <v>0</v>
      </c>
      <c r="M2268">
        <v>0</v>
      </c>
      <c r="N2268">
        <v>0</v>
      </c>
      <c r="O2268">
        <v>0</v>
      </c>
      <c r="P2268">
        <v>0</v>
      </c>
      <c r="Q2268">
        <v>0</v>
      </c>
      <c r="R2268">
        <v>40</v>
      </c>
      <c r="S2268">
        <v>280</v>
      </c>
      <c r="T2268">
        <v>0</v>
      </c>
      <c r="V2268">
        <v>2</v>
      </c>
      <c r="W2268" t="s">
        <v>3357</v>
      </c>
    </row>
    <row r="2269" spans="1:23" x14ac:dyDescent="0.25">
      <c r="H2269" t="s">
        <v>26</v>
      </c>
    </row>
    <row r="2270" spans="1:23" x14ac:dyDescent="0.25">
      <c r="A2270">
        <v>1132</v>
      </c>
      <c r="B2270">
        <v>2163</v>
      </c>
      <c r="C2270" t="s">
        <v>3358</v>
      </c>
      <c r="D2270" t="s">
        <v>219</v>
      </c>
      <c r="E2270" t="s">
        <v>129</v>
      </c>
      <c r="F2270" t="s">
        <v>3359</v>
      </c>
      <c r="G2270" t="str">
        <f>"00123703"</f>
        <v>00123703</v>
      </c>
      <c r="H2270" t="s">
        <v>1049</v>
      </c>
      <c r="I2270">
        <v>0</v>
      </c>
      <c r="J2270">
        <v>70</v>
      </c>
      <c r="K2270">
        <v>30</v>
      </c>
      <c r="L2270">
        <v>0</v>
      </c>
      <c r="M2270">
        <v>0</v>
      </c>
      <c r="N2270">
        <v>0</v>
      </c>
      <c r="O2270">
        <v>0</v>
      </c>
      <c r="P2270">
        <v>0</v>
      </c>
      <c r="Q2270">
        <v>0</v>
      </c>
      <c r="R2270">
        <v>43</v>
      </c>
      <c r="S2270">
        <v>301</v>
      </c>
      <c r="T2270">
        <v>0</v>
      </c>
      <c r="V2270">
        <v>0</v>
      </c>
      <c r="W2270" t="s">
        <v>3360</v>
      </c>
    </row>
    <row r="2271" spans="1:23" x14ac:dyDescent="0.25">
      <c r="H2271" t="s">
        <v>70</v>
      </c>
    </row>
    <row r="2272" spans="1:23" x14ac:dyDescent="0.25">
      <c r="A2272">
        <v>1133</v>
      </c>
      <c r="B2272">
        <v>139</v>
      </c>
      <c r="C2272" t="s">
        <v>103</v>
      </c>
      <c r="D2272" t="s">
        <v>46</v>
      </c>
      <c r="E2272" t="s">
        <v>207</v>
      </c>
      <c r="F2272" t="s">
        <v>3361</v>
      </c>
      <c r="G2272" t="str">
        <f>"00110700"</f>
        <v>00110700</v>
      </c>
      <c r="H2272" t="s">
        <v>2715</v>
      </c>
      <c r="I2272">
        <v>0</v>
      </c>
      <c r="J2272">
        <v>70</v>
      </c>
      <c r="K2272">
        <v>0</v>
      </c>
      <c r="L2272">
        <v>0</v>
      </c>
      <c r="M2272">
        <v>0</v>
      </c>
      <c r="N2272">
        <v>0</v>
      </c>
      <c r="O2272">
        <v>0</v>
      </c>
      <c r="P2272">
        <v>0</v>
      </c>
      <c r="Q2272">
        <v>0</v>
      </c>
      <c r="R2272">
        <v>77</v>
      </c>
      <c r="S2272">
        <v>539</v>
      </c>
      <c r="T2272">
        <v>0</v>
      </c>
      <c r="V2272">
        <v>0</v>
      </c>
      <c r="W2272" t="s">
        <v>3362</v>
      </c>
    </row>
    <row r="2273" spans="1:23" x14ac:dyDescent="0.25">
      <c r="H2273">
        <v>703</v>
      </c>
    </row>
    <row r="2274" spans="1:23" x14ac:dyDescent="0.25">
      <c r="A2274">
        <v>1134</v>
      </c>
      <c r="B2274">
        <v>3196</v>
      </c>
      <c r="C2274" t="s">
        <v>3363</v>
      </c>
      <c r="D2274" t="s">
        <v>20</v>
      </c>
      <c r="E2274" t="s">
        <v>1131</v>
      </c>
      <c r="F2274" t="s">
        <v>3364</v>
      </c>
      <c r="G2274" t="str">
        <f>"201511030347"</f>
        <v>201511030347</v>
      </c>
      <c r="H2274">
        <v>825</v>
      </c>
      <c r="I2274">
        <v>150</v>
      </c>
      <c r="J2274">
        <v>30</v>
      </c>
      <c r="K2274">
        <v>0</v>
      </c>
      <c r="L2274">
        <v>0</v>
      </c>
      <c r="M2274">
        <v>50</v>
      </c>
      <c r="N2274">
        <v>0</v>
      </c>
      <c r="O2274">
        <v>0</v>
      </c>
      <c r="P2274">
        <v>0</v>
      </c>
      <c r="Q2274">
        <v>0</v>
      </c>
      <c r="R2274">
        <v>36</v>
      </c>
      <c r="S2274">
        <v>252</v>
      </c>
      <c r="T2274">
        <v>0</v>
      </c>
      <c r="V2274">
        <v>0</v>
      </c>
      <c r="W2274">
        <v>1307</v>
      </c>
    </row>
    <row r="2275" spans="1:23" x14ac:dyDescent="0.25">
      <c r="H2275" t="s">
        <v>26</v>
      </c>
    </row>
    <row r="2276" spans="1:23" x14ac:dyDescent="0.25">
      <c r="A2276">
        <v>1135</v>
      </c>
      <c r="B2276">
        <v>2929</v>
      </c>
      <c r="C2276" t="s">
        <v>3365</v>
      </c>
      <c r="D2276" t="s">
        <v>67</v>
      </c>
      <c r="E2276" t="s">
        <v>15</v>
      </c>
      <c r="F2276" t="s">
        <v>3366</v>
      </c>
      <c r="G2276" t="str">
        <f>"200801007493"</f>
        <v>200801007493</v>
      </c>
      <c r="H2276">
        <v>1023</v>
      </c>
      <c r="I2276">
        <v>0</v>
      </c>
      <c r="J2276">
        <v>30</v>
      </c>
      <c r="K2276">
        <v>0</v>
      </c>
      <c r="L2276">
        <v>0</v>
      </c>
      <c r="M2276">
        <v>0</v>
      </c>
      <c r="N2276">
        <v>0</v>
      </c>
      <c r="O2276">
        <v>0</v>
      </c>
      <c r="P2276">
        <v>0</v>
      </c>
      <c r="Q2276">
        <v>0</v>
      </c>
      <c r="R2276">
        <v>36</v>
      </c>
      <c r="S2276">
        <v>252</v>
      </c>
      <c r="T2276">
        <v>0</v>
      </c>
      <c r="V2276">
        <v>2</v>
      </c>
      <c r="W2276">
        <v>1305</v>
      </c>
    </row>
    <row r="2277" spans="1:23" x14ac:dyDescent="0.25">
      <c r="H2277">
        <v>703</v>
      </c>
    </row>
    <row r="2278" spans="1:23" x14ac:dyDescent="0.25">
      <c r="A2278">
        <v>1136</v>
      </c>
      <c r="B2278">
        <v>2894</v>
      </c>
      <c r="C2278" t="s">
        <v>3367</v>
      </c>
      <c r="D2278" t="s">
        <v>325</v>
      </c>
      <c r="E2278" t="s">
        <v>58</v>
      </c>
      <c r="F2278" t="s">
        <v>3368</v>
      </c>
      <c r="G2278" t="str">
        <f>"201511039979"</f>
        <v>201511039979</v>
      </c>
      <c r="H2278">
        <v>990</v>
      </c>
      <c r="I2278">
        <v>0</v>
      </c>
      <c r="J2278">
        <v>70</v>
      </c>
      <c r="K2278">
        <v>0</v>
      </c>
      <c r="L2278">
        <v>0</v>
      </c>
      <c r="M2278">
        <v>0</v>
      </c>
      <c r="N2278">
        <v>0</v>
      </c>
      <c r="O2278">
        <v>0</v>
      </c>
      <c r="P2278">
        <v>0</v>
      </c>
      <c r="Q2278">
        <v>0</v>
      </c>
      <c r="R2278">
        <v>35</v>
      </c>
      <c r="S2278">
        <v>245</v>
      </c>
      <c r="T2278">
        <v>0</v>
      </c>
      <c r="V2278">
        <v>0</v>
      </c>
      <c r="W2278">
        <v>1305</v>
      </c>
    </row>
    <row r="2279" spans="1:23" x14ac:dyDescent="0.25">
      <c r="H2279">
        <v>703</v>
      </c>
    </row>
    <row r="2280" spans="1:23" x14ac:dyDescent="0.25">
      <c r="A2280">
        <v>1137</v>
      </c>
      <c r="B2280">
        <v>2516</v>
      </c>
      <c r="C2280" t="s">
        <v>2398</v>
      </c>
      <c r="D2280" t="s">
        <v>140</v>
      </c>
      <c r="E2280" t="s">
        <v>105</v>
      </c>
      <c r="F2280" t="s">
        <v>3369</v>
      </c>
      <c r="G2280" t="str">
        <f>"00142197"</f>
        <v>00142197</v>
      </c>
      <c r="H2280" t="s">
        <v>2590</v>
      </c>
      <c r="I2280">
        <v>0</v>
      </c>
      <c r="J2280">
        <v>30</v>
      </c>
      <c r="K2280">
        <v>0</v>
      </c>
      <c r="L2280">
        <v>0</v>
      </c>
      <c r="M2280">
        <v>0</v>
      </c>
      <c r="N2280">
        <v>0</v>
      </c>
      <c r="O2280">
        <v>0</v>
      </c>
      <c r="P2280">
        <v>0</v>
      </c>
      <c r="Q2280">
        <v>0</v>
      </c>
      <c r="R2280">
        <v>62</v>
      </c>
      <c r="S2280">
        <v>434</v>
      </c>
      <c r="T2280">
        <v>0</v>
      </c>
      <c r="V2280">
        <v>0</v>
      </c>
      <c r="W2280" t="s">
        <v>3370</v>
      </c>
    </row>
    <row r="2281" spans="1:23" x14ac:dyDescent="0.25">
      <c r="H2281">
        <v>703</v>
      </c>
    </row>
    <row r="2282" spans="1:23" x14ac:dyDescent="0.25">
      <c r="A2282">
        <v>1138</v>
      </c>
      <c r="B2282">
        <v>369</v>
      </c>
      <c r="C2282" t="s">
        <v>791</v>
      </c>
      <c r="D2282" t="s">
        <v>40</v>
      </c>
      <c r="E2282" t="s">
        <v>383</v>
      </c>
      <c r="F2282" t="s">
        <v>3371</v>
      </c>
      <c r="G2282" t="str">
        <f>"201406004300"</f>
        <v>201406004300</v>
      </c>
      <c r="H2282" t="s">
        <v>1101</v>
      </c>
      <c r="I2282">
        <v>0</v>
      </c>
      <c r="J2282">
        <v>0</v>
      </c>
      <c r="K2282">
        <v>0</v>
      </c>
      <c r="L2282">
        <v>0</v>
      </c>
      <c r="M2282">
        <v>0</v>
      </c>
      <c r="N2282">
        <v>0</v>
      </c>
      <c r="O2282">
        <v>0</v>
      </c>
      <c r="P2282">
        <v>0</v>
      </c>
      <c r="Q2282">
        <v>0</v>
      </c>
      <c r="R2282">
        <v>40</v>
      </c>
      <c r="S2282">
        <v>280</v>
      </c>
      <c r="T2282">
        <v>0</v>
      </c>
      <c r="V2282">
        <v>0</v>
      </c>
      <c r="W2282" t="s">
        <v>3372</v>
      </c>
    </row>
    <row r="2283" spans="1:23" x14ac:dyDescent="0.25">
      <c r="H2283">
        <v>703</v>
      </c>
    </row>
    <row r="2284" spans="1:23" x14ac:dyDescent="0.25">
      <c r="A2284">
        <v>1139</v>
      </c>
      <c r="B2284">
        <v>2789</v>
      </c>
      <c r="C2284" t="s">
        <v>609</v>
      </c>
      <c r="D2284" t="s">
        <v>722</v>
      </c>
      <c r="E2284" t="s">
        <v>772</v>
      </c>
      <c r="F2284" t="s">
        <v>3373</v>
      </c>
      <c r="G2284" t="str">
        <f>"200811000288"</f>
        <v>200811000288</v>
      </c>
      <c r="H2284">
        <v>770</v>
      </c>
      <c r="I2284">
        <v>0</v>
      </c>
      <c r="J2284">
        <v>30</v>
      </c>
      <c r="K2284">
        <v>0</v>
      </c>
      <c r="L2284">
        <v>0</v>
      </c>
      <c r="M2284">
        <v>0</v>
      </c>
      <c r="N2284">
        <v>0</v>
      </c>
      <c r="O2284">
        <v>0</v>
      </c>
      <c r="P2284">
        <v>0</v>
      </c>
      <c r="Q2284">
        <v>0</v>
      </c>
      <c r="R2284">
        <v>72</v>
      </c>
      <c r="S2284">
        <v>504</v>
      </c>
      <c r="T2284">
        <v>0</v>
      </c>
      <c r="V2284">
        <v>0</v>
      </c>
      <c r="W2284">
        <v>1304</v>
      </c>
    </row>
    <row r="2285" spans="1:23" x14ac:dyDescent="0.25">
      <c r="H2285">
        <v>703</v>
      </c>
    </row>
    <row r="2286" spans="1:23" x14ac:dyDescent="0.25">
      <c r="A2286">
        <v>1140</v>
      </c>
      <c r="B2286">
        <v>318</v>
      </c>
      <c r="C2286" t="s">
        <v>3374</v>
      </c>
      <c r="D2286" t="s">
        <v>46</v>
      </c>
      <c r="E2286" t="s">
        <v>109</v>
      </c>
      <c r="F2286" t="s">
        <v>3375</v>
      </c>
      <c r="G2286" t="str">
        <f>"201406000555"</f>
        <v>201406000555</v>
      </c>
      <c r="H2286" t="s">
        <v>209</v>
      </c>
      <c r="I2286">
        <v>150</v>
      </c>
      <c r="J2286">
        <v>70</v>
      </c>
      <c r="K2286">
        <v>0</v>
      </c>
      <c r="L2286">
        <v>0</v>
      </c>
      <c r="M2286">
        <v>0</v>
      </c>
      <c r="N2286">
        <v>0</v>
      </c>
      <c r="O2286">
        <v>0</v>
      </c>
      <c r="P2286">
        <v>0</v>
      </c>
      <c r="Q2286">
        <v>0</v>
      </c>
      <c r="R2286">
        <v>0</v>
      </c>
      <c r="S2286">
        <v>0</v>
      </c>
      <c r="T2286">
        <v>0</v>
      </c>
      <c r="V2286">
        <v>1</v>
      </c>
      <c r="W2286" t="s">
        <v>3376</v>
      </c>
    </row>
    <row r="2287" spans="1:23" x14ac:dyDescent="0.25">
      <c r="H2287">
        <v>703</v>
      </c>
    </row>
    <row r="2288" spans="1:23" x14ac:dyDescent="0.25">
      <c r="A2288">
        <v>1141</v>
      </c>
      <c r="B2288">
        <v>2123</v>
      </c>
      <c r="C2288" t="s">
        <v>3377</v>
      </c>
      <c r="D2288" t="s">
        <v>76</v>
      </c>
      <c r="E2288" t="s">
        <v>3378</v>
      </c>
      <c r="F2288" t="s">
        <v>3379</v>
      </c>
      <c r="G2288" t="str">
        <f>"00007955"</f>
        <v>00007955</v>
      </c>
      <c r="H2288">
        <v>715</v>
      </c>
      <c r="I2288">
        <v>0</v>
      </c>
      <c r="J2288">
        <v>0</v>
      </c>
      <c r="K2288">
        <v>0</v>
      </c>
      <c r="L2288">
        <v>0</v>
      </c>
      <c r="M2288">
        <v>0</v>
      </c>
      <c r="N2288">
        <v>0</v>
      </c>
      <c r="O2288">
        <v>0</v>
      </c>
      <c r="P2288">
        <v>0</v>
      </c>
      <c r="Q2288">
        <v>0</v>
      </c>
      <c r="R2288">
        <v>84</v>
      </c>
      <c r="S2288">
        <v>588</v>
      </c>
      <c r="T2288">
        <v>0</v>
      </c>
      <c r="V2288">
        <v>0</v>
      </c>
      <c r="W2288">
        <v>1303</v>
      </c>
    </row>
    <row r="2289" spans="1:23" x14ac:dyDescent="0.25">
      <c r="H2289">
        <v>703</v>
      </c>
    </row>
    <row r="2290" spans="1:23" x14ac:dyDescent="0.25">
      <c r="A2290">
        <v>1142</v>
      </c>
      <c r="B2290">
        <v>1478</v>
      </c>
      <c r="C2290" t="s">
        <v>3380</v>
      </c>
      <c r="D2290" t="s">
        <v>285</v>
      </c>
      <c r="E2290" t="s">
        <v>58</v>
      </c>
      <c r="F2290" t="s">
        <v>3381</v>
      </c>
      <c r="G2290" t="str">
        <f>"200803000354"</f>
        <v>200803000354</v>
      </c>
      <c r="H2290" t="s">
        <v>458</v>
      </c>
      <c r="I2290">
        <v>0</v>
      </c>
      <c r="J2290">
        <v>70</v>
      </c>
      <c r="K2290">
        <v>0</v>
      </c>
      <c r="L2290">
        <v>0</v>
      </c>
      <c r="M2290">
        <v>0</v>
      </c>
      <c r="N2290">
        <v>0</v>
      </c>
      <c r="O2290">
        <v>0</v>
      </c>
      <c r="P2290">
        <v>0</v>
      </c>
      <c r="Q2290">
        <v>0</v>
      </c>
      <c r="R2290">
        <v>37</v>
      </c>
      <c r="S2290">
        <v>259</v>
      </c>
      <c r="T2290">
        <v>0</v>
      </c>
      <c r="V2290">
        <v>0</v>
      </c>
      <c r="W2290" t="s">
        <v>3382</v>
      </c>
    </row>
    <row r="2291" spans="1:23" x14ac:dyDescent="0.25">
      <c r="H2291" t="s">
        <v>26</v>
      </c>
    </row>
    <row r="2292" spans="1:23" x14ac:dyDescent="0.25">
      <c r="A2292">
        <v>1143</v>
      </c>
      <c r="B2292">
        <v>1325</v>
      </c>
      <c r="C2292" t="s">
        <v>3383</v>
      </c>
      <c r="D2292" t="s">
        <v>2604</v>
      </c>
      <c r="E2292" t="s">
        <v>105</v>
      </c>
      <c r="F2292" t="s">
        <v>3384</v>
      </c>
      <c r="G2292" t="str">
        <f>"201502000269"</f>
        <v>201502000269</v>
      </c>
      <c r="H2292" t="s">
        <v>202</v>
      </c>
      <c r="I2292">
        <v>0</v>
      </c>
      <c r="J2292">
        <v>70</v>
      </c>
      <c r="K2292">
        <v>50</v>
      </c>
      <c r="L2292">
        <v>0</v>
      </c>
      <c r="M2292">
        <v>0</v>
      </c>
      <c r="N2292">
        <v>0</v>
      </c>
      <c r="O2292">
        <v>0</v>
      </c>
      <c r="P2292">
        <v>0</v>
      </c>
      <c r="Q2292">
        <v>0</v>
      </c>
      <c r="R2292">
        <v>28</v>
      </c>
      <c r="S2292">
        <v>196</v>
      </c>
      <c r="T2292">
        <v>0</v>
      </c>
      <c r="V2292">
        <v>0</v>
      </c>
      <c r="W2292" t="s">
        <v>3385</v>
      </c>
    </row>
    <row r="2293" spans="1:23" x14ac:dyDescent="0.25">
      <c r="H2293" t="s">
        <v>26</v>
      </c>
    </row>
    <row r="2294" spans="1:23" x14ac:dyDescent="0.25">
      <c r="A2294">
        <v>1144</v>
      </c>
      <c r="B2294">
        <v>1371</v>
      </c>
      <c r="C2294" t="s">
        <v>3386</v>
      </c>
      <c r="D2294" t="s">
        <v>219</v>
      </c>
      <c r="E2294" t="s">
        <v>109</v>
      </c>
      <c r="F2294" t="s">
        <v>3387</v>
      </c>
      <c r="G2294" t="str">
        <f>"201511037955"</f>
        <v>201511037955</v>
      </c>
      <c r="H2294">
        <v>1100</v>
      </c>
      <c r="I2294">
        <v>150</v>
      </c>
      <c r="J2294">
        <v>50</v>
      </c>
      <c r="K2294">
        <v>0</v>
      </c>
      <c r="L2294">
        <v>0</v>
      </c>
      <c r="M2294">
        <v>0</v>
      </c>
      <c r="N2294">
        <v>0</v>
      </c>
      <c r="O2294">
        <v>0</v>
      </c>
      <c r="P2294">
        <v>0</v>
      </c>
      <c r="Q2294">
        <v>0</v>
      </c>
      <c r="R2294">
        <v>0</v>
      </c>
      <c r="S2294">
        <v>0</v>
      </c>
      <c r="T2294">
        <v>0</v>
      </c>
      <c r="V2294">
        <v>0</v>
      </c>
      <c r="W2294">
        <v>1300</v>
      </c>
    </row>
    <row r="2295" spans="1:23" x14ac:dyDescent="0.25">
      <c r="H2295">
        <v>703</v>
      </c>
    </row>
    <row r="2296" spans="1:23" x14ac:dyDescent="0.25">
      <c r="A2296">
        <v>1145</v>
      </c>
      <c r="B2296">
        <v>1304</v>
      </c>
      <c r="C2296" t="s">
        <v>3388</v>
      </c>
      <c r="D2296" t="s">
        <v>1144</v>
      </c>
      <c r="E2296" t="s">
        <v>76</v>
      </c>
      <c r="F2296" t="s">
        <v>3389</v>
      </c>
      <c r="G2296" t="str">
        <f>"00230181"</f>
        <v>00230181</v>
      </c>
      <c r="H2296">
        <v>1100</v>
      </c>
      <c r="I2296">
        <v>150</v>
      </c>
      <c r="J2296">
        <v>50</v>
      </c>
      <c r="K2296">
        <v>0</v>
      </c>
      <c r="L2296">
        <v>0</v>
      </c>
      <c r="M2296">
        <v>0</v>
      </c>
      <c r="N2296">
        <v>0</v>
      </c>
      <c r="O2296">
        <v>0</v>
      </c>
      <c r="P2296">
        <v>0</v>
      </c>
      <c r="Q2296">
        <v>0</v>
      </c>
      <c r="R2296">
        <v>0</v>
      </c>
      <c r="S2296">
        <v>0</v>
      </c>
      <c r="T2296">
        <v>0</v>
      </c>
      <c r="V2296">
        <v>0</v>
      </c>
      <c r="W2296">
        <v>1300</v>
      </c>
    </row>
    <row r="2297" spans="1:23" x14ac:dyDescent="0.25">
      <c r="H2297">
        <v>703</v>
      </c>
    </row>
    <row r="2298" spans="1:23" x14ac:dyDescent="0.25">
      <c r="A2298">
        <v>1146</v>
      </c>
      <c r="B2298">
        <v>2907</v>
      </c>
      <c r="C2298" t="s">
        <v>3390</v>
      </c>
      <c r="D2298" t="s">
        <v>361</v>
      </c>
      <c r="E2298" t="s">
        <v>91</v>
      </c>
      <c r="F2298" t="s">
        <v>3391</v>
      </c>
      <c r="G2298" t="str">
        <f>"201007000060"</f>
        <v>201007000060</v>
      </c>
      <c r="H2298">
        <v>1100</v>
      </c>
      <c r="I2298">
        <v>150</v>
      </c>
      <c r="J2298">
        <v>50</v>
      </c>
      <c r="K2298">
        <v>0</v>
      </c>
      <c r="L2298">
        <v>0</v>
      </c>
      <c r="M2298">
        <v>0</v>
      </c>
      <c r="N2298">
        <v>0</v>
      </c>
      <c r="O2298">
        <v>0</v>
      </c>
      <c r="P2298">
        <v>0</v>
      </c>
      <c r="Q2298">
        <v>0</v>
      </c>
      <c r="R2298">
        <v>0</v>
      </c>
      <c r="S2298">
        <v>0</v>
      </c>
      <c r="T2298">
        <v>0</v>
      </c>
      <c r="V2298">
        <v>0</v>
      </c>
      <c r="W2298">
        <v>1300</v>
      </c>
    </row>
    <row r="2299" spans="1:23" x14ac:dyDescent="0.25">
      <c r="H2299">
        <v>703</v>
      </c>
    </row>
    <row r="2300" spans="1:23" x14ac:dyDescent="0.25">
      <c r="A2300">
        <v>1147</v>
      </c>
      <c r="B2300">
        <v>527</v>
      </c>
      <c r="C2300" t="s">
        <v>3392</v>
      </c>
      <c r="D2300" t="s">
        <v>273</v>
      </c>
      <c r="E2300" t="s">
        <v>99</v>
      </c>
      <c r="F2300" t="s">
        <v>3393</v>
      </c>
      <c r="G2300" t="str">
        <f>"201402005607"</f>
        <v>201402005607</v>
      </c>
      <c r="H2300">
        <v>1045</v>
      </c>
      <c r="I2300">
        <v>150</v>
      </c>
      <c r="J2300">
        <v>0</v>
      </c>
      <c r="K2300">
        <v>0</v>
      </c>
      <c r="L2300">
        <v>0</v>
      </c>
      <c r="M2300">
        <v>0</v>
      </c>
      <c r="N2300">
        <v>0</v>
      </c>
      <c r="O2300">
        <v>0</v>
      </c>
      <c r="P2300">
        <v>0</v>
      </c>
      <c r="Q2300">
        <v>0</v>
      </c>
      <c r="R2300">
        <v>15</v>
      </c>
      <c r="S2300">
        <v>105</v>
      </c>
      <c r="T2300">
        <v>0</v>
      </c>
      <c r="V2300">
        <v>0</v>
      </c>
      <c r="W2300">
        <v>1300</v>
      </c>
    </row>
    <row r="2301" spans="1:23" x14ac:dyDescent="0.25">
      <c r="H2301">
        <v>703</v>
      </c>
    </row>
    <row r="2302" spans="1:23" x14ac:dyDescent="0.25">
      <c r="A2302">
        <v>1148</v>
      </c>
      <c r="B2302">
        <v>1295</v>
      </c>
      <c r="C2302" t="s">
        <v>3394</v>
      </c>
      <c r="D2302" t="s">
        <v>404</v>
      </c>
      <c r="E2302" t="s">
        <v>3395</v>
      </c>
      <c r="F2302" t="s">
        <v>3396</v>
      </c>
      <c r="G2302" t="str">
        <f>"00031709"</f>
        <v>00031709</v>
      </c>
      <c r="H2302">
        <v>1001</v>
      </c>
      <c r="I2302">
        <v>150</v>
      </c>
      <c r="J2302">
        <v>30</v>
      </c>
      <c r="K2302">
        <v>0</v>
      </c>
      <c r="L2302">
        <v>0</v>
      </c>
      <c r="M2302">
        <v>0</v>
      </c>
      <c r="N2302">
        <v>0</v>
      </c>
      <c r="O2302">
        <v>0</v>
      </c>
      <c r="P2302">
        <v>0</v>
      </c>
      <c r="Q2302">
        <v>0</v>
      </c>
      <c r="R2302">
        <v>17</v>
      </c>
      <c r="S2302">
        <v>119</v>
      </c>
      <c r="T2302">
        <v>0</v>
      </c>
      <c r="V2302">
        <v>0</v>
      </c>
      <c r="W2302">
        <v>1300</v>
      </c>
    </row>
    <row r="2303" spans="1:23" x14ac:dyDescent="0.25">
      <c r="H2303">
        <v>703</v>
      </c>
    </row>
    <row r="2304" spans="1:23" x14ac:dyDescent="0.25">
      <c r="A2304">
        <v>1149</v>
      </c>
      <c r="B2304">
        <v>175</v>
      </c>
      <c r="C2304" t="s">
        <v>3397</v>
      </c>
      <c r="D2304" t="s">
        <v>226</v>
      </c>
      <c r="E2304" t="s">
        <v>58</v>
      </c>
      <c r="F2304" t="s">
        <v>3398</v>
      </c>
      <c r="G2304" t="str">
        <f>"201406010157"</f>
        <v>201406010157</v>
      </c>
      <c r="H2304">
        <v>1089</v>
      </c>
      <c r="I2304">
        <v>150</v>
      </c>
      <c r="J2304">
        <v>30</v>
      </c>
      <c r="K2304">
        <v>30</v>
      </c>
      <c r="L2304">
        <v>0</v>
      </c>
      <c r="M2304">
        <v>0</v>
      </c>
      <c r="N2304">
        <v>0</v>
      </c>
      <c r="O2304">
        <v>0</v>
      </c>
      <c r="P2304">
        <v>0</v>
      </c>
      <c r="Q2304">
        <v>0</v>
      </c>
      <c r="R2304">
        <v>0</v>
      </c>
      <c r="S2304">
        <v>0</v>
      </c>
      <c r="T2304">
        <v>0</v>
      </c>
      <c r="V2304">
        <v>0</v>
      </c>
      <c r="W2304">
        <v>1299</v>
      </c>
    </row>
    <row r="2305" spans="1:23" x14ac:dyDescent="0.25">
      <c r="H2305" t="s">
        <v>70</v>
      </c>
    </row>
    <row r="2306" spans="1:23" x14ac:dyDescent="0.25">
      <c r="A2306">
        <v>1150</v>
      </c>
      <c r="B2306">
        <v>1151</v>
      </c>
      <c r="C2306" t="s">
        <v>3399</v>
      </c>
      <c r="D2306" t="s">
        <v>3292</v>
      </c>
      <c r="E2306" t="s">
        <v>109</v>
      </c>
      <c r="F2306" t="s">
        <v>3400</v>
      </c>
      <c r="G2306" t="str">
        <f>"201410011744"</f>
        <v>201410011744</v>
      </c>
      <c r="H2306">
        <v>1089</v>
      </c>
      <c r="I2306">
        <v>0</v>
      </c>
      <c r="J2306">
        <v>70</v>
      </c>
      <c r="K2306">
        <v>0</v>
      </c>
      <c r="L2306">
        <v>70</v>
      </c>
      <c r="M2306">
        <v>0</v>
      </c>
      <c r="N2306">
        <v>70</v>
      </c>
      <c r="O2306">
        <v>0</v>
      </c>
      <c r="P2306">
        <v>0</v>
      </c>
      <c r="Q2306">
        <v>0</v>
      </c>
      <c r="R2306">
        <v>0</v>
      </c>
      <c r="S2306">
        <v>0</v>
      </c>
      <c r="T2306">
        <v>0</v>
      </c>
      <c r="V2306">
        <v>2</v>
      </c>
      <c r="W2306">
        <v>1299</v>
      </c>
    </row>
    <row r="2307" spans="1:23" x14ac:dyDescent="0.25">
      <c r="H2307" t="s">
        <v>26</v>
      </c>
    </row>
    <row r="2308" spans="1:23" x14ac:dyDescent="0.25">
      <c r="A2308">
        <v>1151</v>
      </c>
      <c r="B2308">
        <v>3034</v>
      </c>
      <c r="C2308" t="s">
        <v>3401</v>
      </c>
      <c r="D2308" t="s">
        <v>3402</v>
      </c>
      <c r="E2308" t="s">
        <v>1196</v>
      </c>
      <c r="F2308" t="s">
        <v>3403</v>
      </c>
      <c r="G2308" t="str">
        <f>"201603000014"</f>
        <v>201603000014</v>
      </c>
      <c r="H2308">
        <v>1001</v>
      </c>
      <c r="I2308">
        <v>150</v>
      </c>
      <c r="J2308">
        <v>50</v>
      </c>
      <c r="K2308">
        <v>0</v>
      </c>
      <c r="L2308">
        <v>0</v>
      </c>
      <c r="M2308">
        <v>0</v>
      </c>
      <c r="N2308">
        <v>0</v>
      </c>
      <c r="O2308">
        <v>0</v>
      </c>
      <c r="P2308">
        <v>0</v>
      </c>
      <c r="Q2308">
        <v>0</v>
      </c>
      <c r="R2308">
        <v>14</v>
      </c>
      <c r="S2308">
        <v>98</v>
      </c>
      <c r="T2308">
        <v>0</v>
      </c>
      <c r="V2308">
        <v>2</v>
      </c>
      <c r="W2308">
        <v>1299</v>
      </c>
    </row>
    <row r="2309" spans="1:23" x14ac:dyDescent="0.25">
      <c r="H2309">
        <v>703</v>
      </c>
    </row>
    <row r="2310" spans="1:23" x14ac:dyDescent="0.25">
      <c r="A2310">
        <v>1152</v>
      </c>
      <c r="B2310">
        <v>286</v>
      </c>
      <c r="C2310" t="s">
        <v>3404</v>
      </c>
      <c r="D2310" t="s">
        <v>3405</v>
      </c>
      <c r="E2310" t="s">
        <v>53</v>
      </c>
      <c r="F2310" t="s">
        <v>3406</v>
      </c>
      <c r="G2310" t="str">
        <f>"00118748"</f>
        <v>00118748</v>
      </c>
      <c r="H2310" t="s">
        <v>187</v>
      </c>
      <c r="I2310">
        <v>150</v>
      </c>
      <c r="J2310">
        <v>70</v>
      </c>
      <c r="K2310">
        <v>0</v>
      </c>
      <c r="L2310">
        <v>0</v>
      </c>
      <c r="M2310">
        <v>0</v>
      </c>
      <c r="N2310">
        <v>50</v>
      </c>
      <c r="O2310">
        <v>0</v>
      </c>
      <c r="P2310">
        <v>0</v>
      </c>
      <c r="Q2310">
        <v>0</v>
      </c>
      <c r="R2310">
        <v>0</v>
      </c>
      <c r="S2310">
        <v>0</v>
      </c>
      <c r="T2310">
        <v>0</v>
      </c>
      <c r="V2310">
        <v>0</v>
      </c>
      <c r="W2310" t="s">
        <v>3407</v>
      </c>
    </row>
    <row r="2311" spans="1:23" x14ac:dyDescent="0.25">
      <c r="H2311" t="s">
        <v>70</v>
      </c>
    </row>
    <row r="2312" spans="1:23" x14ac:dyDescent="0.25">
      <c r="A2312">
        <v>1153</v>
      </c>
      <c r="B2312">
        <v>3170</v>
      </c>
      <c r="C2312" t="s">
        <v>1692</v>
      </c>
      <c r="D2312" t="s">
        <v>15</v>
      </c>
      <c r="E2312" t="s">
        <v>53</v>
      </c>
      <c r="F2312" t="s">
        <v>3408</v>
      </c>
      <c r="G2312" t="str">
        <f>"00135072"</f>
        <v>00135072</v>
      </c>
      <c r="H2312">
        <v>990</v>
      </c>
      <c r="I2312">
        <v>0</v>
      </c>
      <c r="J2312">
        <v>70</v>
      </c>
      <c r="K2312">
        <v>0</v>
      </c>
      <c r="L2312">
        <v>0</v>
      </c>
      <c r="M2312">
        <v>0</v>
      </c>
      <c r="N2312">
        <v>0</v>
      </c>
      <c r="O2312">
        <v>0</v>
      </c>
      <c r="P2312">
        <v>0</v>
      </c>
      <c r="Q2312">
        <v>0</v>
      </c>
      <c r="R2312">
        <v>34</v>
      </c>
      <c r="S2312">
        <v>238</v>
      </c>
      <c r="T2312">
        <v>0</v>
      </c>
      <c r="V2312">
        <v>1</v>
      </c>
      <c r="W2312">
        <v>1298</v>
      </c>
    </row>
    <row r="2313" spans="1:23" x14ac:dyDescent="0.25">
      <c r="H2313" t="s">
        <v>3409</v>
      </c>
    </row>
    <row r="2314" spans="1:23" x14ac:dyDescent="0.25">
      <c r="A2314">
        <v>1154</v>
      </c>
      <c r="B2314">
        <v>398</v>
      </c>
      <c r="C2314" t="s">
        <v>3410</v>
      </c>
      <c r="D2314" t="s">
        <v>3411</v>
      </c>
      <c r="E2314" t="s">
        <v>88</v>
      </c>
      <c r="F2314" t="s">
        <v>3412</v>
      </c>
      <c r="G2314" t="str">
        <f>"201304002069"</f>
        <v>201304002069</v>
      </c>
      <c r="H2314">
        <v>968</v>
      </c>
      <c r="I2314">
        <v>0</v>
      </c>
      <c r="J2314">
        <v>70</v>
      </c>
      <c r="K2314">
        <v>50</v>
      </c>
      <c r="L2314">
        <v>0</v>
      </c>
      <c r="M2314">
        <v>0</v>
      </c>
      <c r="N2314">
        <v>0</v>
      </c>
      <c r="O2314">
        <v>0</v>
      </c>
      <c r="P2314">
        <v>0</v>
      </c>
      <c r="Q2314">
        <v>0</v>
      </c>
      <c r="R2314">
        <v>30</v>
      </c>
      <c r="S2314">
        <v>210</v>
      </c>
      <c r="T2314">
        <v>0</v>
      </c>
      <c r="V2314">
        <v>0</v>
      </c>
      <c r="W2314">
        <v>1298</v>
      </c>
    </row>
    <row r="2315" spans="1:23" x14ac:dyDescent="0.25">
      <c r="H2315" t="s">
        <v>70</v>
      </c>
    </row>
    <row r="2316" spans="1:23" x14ac:dyDescent="0.25">
      <c r="A2316">
        <v>1155</v>
      </c>
      <c r="B2316">
        <v>2973</v>
      </c>
      <c r="C2316" t="s">
        <v>3413</v>
      </c>
      <c r="D2316" t="s">
        <v>556</v>
      </c>
      <c r="E2316" t="s">
        <v>2000</v>
      </c>
      <c r="F2316" t="s">
        <v>3414</v>
      </c>
      <c r="G2316" t="str">
        <f>"00230745"</f>
        <v>00230745</v>
      </c>
      <c r="H2316" t="s">
        <v>2431</v>
      </c>
      <c r="I2316">
        <v>0</v>
      </c>
      <c r="J2316">
        <v>0</v>
      </c>
      <c r="K2316">
        <v>0</v>
      </c>
      <c r="L2316">
        <v>0</v>
      </c>
      <c r="M2316">
        <v>0</v>
      </c>
      <c r="N2316">
        <v>0</v>
      </c>
      <c r="O2316">
        <v>0</v>
      </c>
      <c r="P2316">
        <v>0</v>
      </c>
      <c r="Q2316">
        <v>0</v>
      </c>
      <c r="R2316">
        <v>84</v>
      </c>
      <c r="S2316">
        <v>588</v>
      </c>
      <c r="T2316">
        <v>0</v>
      </c>
      <c r="V2316">
        <v>0</v>
      </c>
      <c r="W2316" t="s">
        <v>3415</v>
      </c>
    </row>
    <row r="2317" spans="1:23" x14ac:dyDescent="0.25">
      <c r="H2317">
        <v>703</v>
      </c>
    </row>
    <row r="2318" spans="1:23" x14ac:dyDescent="0.25">
      <c r="A2318">
        <v>1156</v>
      </c>
      <c r="B2318">
        <v>36</v>
      </c>
      <c r="C2318" t="s">
        <v>146</v>
      </c>
      <c r="D2318" t="s">
        <v>3416</v>
      </c>
      <c r="E2318" t="s">
        <v>76</v>
      </c>
      <c r="F2318" t="s">
        <v>3417</v>
      </c>
      <c r="G2318" t="str">
        <f>"00161137"</f>
        <v>00161137</v>
      </c>
      <c r="H2318" t="s">
        <v>2431</v>
      </c>
      <c r="I2318">
        <v>0</v>
      </c>
      <c r="J2318">
        <v>0</v>
      </c>
      <c r="K2318">
        <v>0</v>
      </c>
      <c r="L2318">
        <v>0</v>
      </c>
      <c r="M2318">
        <v>0</v>
      </c>
      <c r="N2318">
        <v>0</v>
      </c>
      <c r="O2318">
        <v>0</v>
      </c>
      <c r="P2318">
        <v>0</v>
      </c>
      <c r="Q2318">
        <v>0</v>
      </c>
      <c r="R2318">
        <v>84</v>
      </c>
      <c r="S2318">
        <v>588</v>
      </c>
      <c r="T2318">
        <v>0</v>
      </c>
      <c r="V2318">
        <v>0</v>
      </c>
      <c r="W2318" t="s">
        <v>3415</v>
      </c>
    </row>
    <row r="2319" spans="1:23" x14ac:dyDescent="0.25">
      <c r="H2319">
        <v>703</v>
      </c>
    </row>
    <row r="2320" spans="1:23" x14ac:dyDescent="0.25">
      <c r="A2320">
        <v>1157</v>
      </c>
      <c r="B2320">
        <v>167</v>
      </c>
      <c r="C2320" t="s">
        <v>3418</v>
      </c>
      <c r="D2320" t="s">
        <v>610</v>
      </c>
      <c r="E2320" t="s">
        <v>3419</v>
      </c>
      <c r="F2320" t="s">
        <v>3420</v>
      </c>
      <c r="G2320" t="str">
        <f>"00002673"</f>
        <v>00002673</v>
      </c>
      <c r="H2320" t="s">
        <v>1532</v>
      </c>
      <c r="I2320">
        <v>0</v>
      </c>
      <c r="J2320">
        <v>30</v>
      </c>
      <c r="K2320">
        <v>0</v>
      </c>
      <c r="L2320">
        <v>0</v>
      </c>
      <c r="M2320">
        <v>0</v>
      </c>
      <c r="N2320">
        <v>0</v>
      </c>
      <c r="O2320">
        <v>50</v>
      </c>
      <c r="P2320">
        <v>0</v>
      </c>
      <c r="Q2320">
        <v>0</v>
      </c>
      <c r="R2320">
        <v>41</v>
      </c>
      <c r="S2320">
        <v>287</v>
      </c>
      <c r="T2320">
        <v>0</v>
      </c>
      <c r="V2320">
        <v>0</v>
      </c>
      <c r="W2320" t="s">
        <v>3421</v>
      </c>
    </row>
    <row r="2321" spans="1:23" x14ac:dyDescent="0.25">
      <c r="H2321">
        <v>703</v>
      </c>
    </row>
    <row r="2322" spans="1:23" x14ac:dyDescent="0.25">
      <c r="A2322">
        <v>1158</v>
      </c>
      <c r="B2322">
        <v>1577</v>
      </c>
      <c r="C2322" t="s">
        <v>3422</v>
      </c>
      <c r="D2322" t="s">
        <v>3423</v>
      </c>
      <c r="E2322" t="s">
        <v>76</v>
      </c>
      <c r="F2322" t="s">
        <v>3424</v>
      </c>
      <c r="G2322" t="str">
        <f>"201511029001"</f>
        <v>201511029001</v>
      </c>
      <c r="H2322" t="s">
        <v>363</v>
      </c>
      <c r="I2322">
        <v>0</v>
      </c>
      <c r="J2322">
        <v>50</v>
      </c>
      <c r="K2322">
        <v>0</v>
      </c>
      <c r="L2322">
        <v>0</v>
      </c>
      <c r="M2322">
        <v>0</v>
      </c>
      <c r="N2322">
        <v>0</v>
      </c>
      <c r="O2322">
        <v>0</v>
      </c>
      <c r="P2322">
        <v>0</v>
      </c>
      <c r="Q2322">
        <v>0</v>
      </c>
      <c r="R2322">
        <v>36</v>
      </c>
      <c r="S2322">
        <v>252</v>
      </c>
      <c r="T2322">
        <v>0</v>
      </c>
      <c r="V2322">
        <v>0</v>
      </c>
      <c r="W2322" t="s">
        <v>3425</v>
      </c>
    </row>
    <row r="2323" spans="1:23" x14ac:dyDescent="0.25">
      <c r="H2323">
        <v>703</v>
      </c>
    </row>
    <row r="2324" spans="1:23" x14ac:dyDescent="0.25">
      <c r="A2324">
        <v>1159</v>
      </c>
      <c r="B2324">
        <v>344</v>
      </c>
      <c r="C2324" t="s">
        <v>3426</v>
      </c>
      <c r="D2324" t="s">
        <v>67</v>
      </c>
      <c r="E2324" t="s">
        <v>227</v>
      </c>
      <c r="F2324" t="s">
        <v>3427</v>
      </c>
      <c r="G2324" t="str">
        <f>"201406000421"</f>
        <v>201406000421</v>
      </c>
      <c r="H2324">
        <v>715</v>
      </c>
      <c r="I2324">
        <v>0</v>
      </c>
      <c r="J2324">
        <v>0</v>
      </c>
      <c r="K2324">
        <v>0</v>
      </c>
      <c r="L2324">
        <v>0</v>
      </c>
      <c r="M2324">
        <v>0</v>
      </c>
      <c r="N2324">
        <v>0</v>
      </c>
      <c r="O2324">
        <v>0</v>
      </c>
      <c r="P2324">
        <v>0</v>
      </c>
      <c r="Q2324">
        <v>0</v>
      </c>
      <c r="R2324">
        <v>83</v>
      </c>
      <c r="S2324">
        <v>581</v>
      </c>
      <c r="T2324">
        <v>0</v>
      </c>
      <c r="V2324">
        <v>0</v>
      </c>
      <c r="W2324">
        <v>1296</v>
      </c>
    </row>
    <row r="2325" spans="1:23" x14ac:dyDescent="0.25">
      <c r="H2325" t="s">
        <v>26</v>
      </c>
    </row>
    <row r="2326" spans="1:23" x14ac:dyDescent="0.25">
      <c r="A2326">
        <v>1160</v>
      </c>
      <c r="B2326">
        <v>1943</v>
      </c>
      <c r="C2326" t="s">
        <v>1079</v>
      </c>
      <c r="D2326" t="s">
        <v>273</v>
      </c>
      <c r="E2326" t="s">
        <v>41</v>
      </c>
      <c r="F2326" t="s">
        <v>3428</v>
      </c>
      <c r="G2326" t="str">
        <f>"00113556"</f>
        <v>00113556</v>
      </c>
      <c r="H2326" t="s">
        <v>1001</v>
      </c>
      <c r="I2326">
        <v>0</v>
      </c>
      <c r="J2326">
        <v>70</v>
      </c>
      <c r="K2326">
        <v>0</v>
      </c>
      <c r="L2326">
        <v>0</v>
      </c>
      <c r="M2326">
        <v>0</v>
      </c>
      <c r="N2326">
        <v>0</v>
      </c>
      <c r="O2326">
        <v>0</v>
      </c>
      <c r="P2326">
        <v>0</v>
      </c>
      <c r="Q2326">
        <v>0</v>
      </c>
      <c r="R2326">
        <v>47</v>
      </c>
      <c r="S2326">
        <v>329</v>
      </c>
      <c r="T2326">
        <v>0</v>
      </c>
      <c r="V2326">
        <v>0</v>
      </c>
      <c r="W2326" t="s">
        <v>3429</v>
      </c>
    </row>
    <row r="2327" spans="1:23" x14ac:dyDescent="0.25">
      <c r="H2327">
        <v>703</v>
      </c>
    </row>
    <row r="2328" spans="1:23" x14ac:dyDescent="0.25">
      <c r="A2328">
        <v>1161</v>
      </c>
      <c r="B2328">
        <v>2732</v>
      </c>
      <c r="C2328" t="s">
        <v>3430</v>
      </c>
      <c r="D2328" t="s">
        <v>3431</v>
      </c>
      <c r="E2328" t="s">
        <v>3432</v>
      </c>
      <c r="F2328" t="s">
        <v>3433</v>
      </c>
      <c r="G2328" t="str">
        <f>"00186752"</f>
        <v>00186752</v>
      </c>
      <c r="H2328" t="s">
        <v>177</v>
      </c>
      <c r="I2328">
        <v>0</v>
      </c>
      <c r="J2328">
        <v>30</v>
      </c>
      <c r="K2328">
        <v>30</v>
      </c>
      <c r="L2328">
        <v>0</v>
      </c>
      <c r="M2328">
        <v>0</v>
      </c>
      <c r="N2328">
        <v>0</v>
      </c>
      <c r="O2328">
        <v>0</v>
      </c>
      <c r="P2328">
        <v>0</v>
      </c>
      <c r="Q2328">
        <v>0</v>
      </c>
      <c r="R2328">
        <v>22</v>
      </c>
      <c r="S2328">
        <v>154</v>
      </c>
      <c r="T2328">
        <v>0</v>
      </c>
      <c r="V2328">
        <v>0</v>
      </c>
      <c r="W2328" t="s">
        <v>3434</v>
      </c>
    </row>
    <row r="2329" spans="1:23" x14ac:dyDescent="0.25">
      <c r="H2329" t="s">
        <v>70</v>
      </c>
    </row>
    <row r="2330" spans="1:23" x14ac:dyDescent="0.25">
      <c r="A2330">
        <v>1162</v>
      </c>
      <c r="B2330">
        <v>868</v>
      </c>
      <c r="C2330" t="s">
        <v>3435</v>
      </c>
      <c r="D2330" t="s">
        <v>20</v>
      </c>
      <c r="E2330" t="s">
        <v>99</v>
      </c>
      <c r="F2330" t="s">
        <v>3436</v>
      </c>
      <c r="G2330" t="str">
        <f>"201511015204"</f>
        <v>201511015204</v>
      </c>
      <c r="H2330">
        <v>1089</v>
      </c>
      <c r="I2330">
        <v>150</v>
      </c>
      <c r="J2330">
        <v>0</v>
      </c>
      <c r="K2330">
        <v>0</v>
      </c>
      <c r="L2330">
        <v>0</v>
      </c>
      <c r="M2330">
        <v>0</v>
      </c>
      <c r="N2330">
        <v>0</v>
      </c>
      <c r="O2330">
        <v>0</v>
      </c>
      <c r="P2330">
        <v>0</v>
      </c>
      <c r="Q2330">
        <v>0</v>
      </c>
      <c r="R2330">
        <v>8</v>
      </c>
      <c r="S2330">
        <v>56</v>
      </c>
      <c r="T2330">
        <v>0</v>
      </c>
      <c r="V2330">
        <v>0</v>
      </c>
      <c r="W2330">
        <v>1295</v>
      </c>
    </row>
    <row r="2331" spans="1:23" x14ac:dyDescent="0.25">
      <c r="H2331">
        <v>703</v>
      </c>
    </row>
    <row r="2332" spans="1:23" x14ac:dyDescent="0.25">
      <c r="A2332">
        <v>1163</v>
      </c>
      <c r="B2332">
        <v>3140</v>
      </c>
      <c r="C2332" t="s">
        <v>3437</v>
      </c>
      <c r="D2332" t="s">
        <v>892</v>
      </c>
      <c r="E2332" t="s">
        <v>15</v>
      </c>
      <c r="F2332" t="s">
        <v>3438</v>
      </c>
      <c r="G2332" t="str">
        <f>"201303000903"</f>
        <v>201303000903</v>
      </c>
      <c r="H2332">
        <v>880</v>
      </c>
      <c r="I2332">
        <v>0</v>
      </c>
      <c r="J2332">
        <v>70</v>
      </c>
      <c r="K2332">
        <v>0</v>
      </c>
      <c r="L2332">
        <v>30</v>
      </c>
      <c r="M2332">
        <v>70</v>
      </c>
      <c r="N2332">
        <v>0</v>
      </c>
      <c r="O2332">
        <v>0</v>
      </c>
      <c r="P2332">
        <v>0</v>
      </c>
      <c r="Q2332">
        <v>0</v>
      </c>
      <c r="R2332">
        <v>35</v>
      </c>
      <c r="S2332">
        <v>245</v>
      </c>
      <c r="T2332">
        <v>0</v>
      </c>
      <c r="V2332">
        <v>0</v>
      </c>
      <c r="W2332">
        <v>1295</v>
      </c>
    </row>
    <row r="2333" spans="1:23" x14ac:dyDescent="0.25">
      <c r="H2333" t="s">
        <v>70</v>
      </c>
    </row>
    <row r="2334" spans="1:23" x14ac:dyDescent="0.25">
      <c r="A2334">
        <v>1164</v>
      </c>
      <c r="B2334">
        <v>1323</v>
      </c>
      <c r="C2334" t="s">
        <v>3439</v>
      </c>
      <c r="D2334" t="s">
        <v>248</v>
      </c>
      <c r="E2334" t="s">
        <v>15</v>
      </c>
      <c r="F2334" t="s">
        <v>3440</v>
      </c>
      <c r="G2334" t="str">
        <f>"00140881"</f>
        <v>00140881</v>
      </c>
      <c r="H2334">
        <v>847</v>
      </c>
      <c r="I2334">
        <v>150</v>
      </c>
      <c r="J2334">
        <v>30</v>
      </c>
      <c r="K2334">
        <v>30</v>
      </c>
      <c r="L2334">
        <v>0</v>
      </c>
      <c r="M2334">
        <v>0</v>
      </c>
      <c r="N2334">
        <v>0</v>
      </c>
      <c r="O2334">
        <v>0</v>
      </c>
      <c r="P2334">
        <v>0</v>
      </c>
      <c r="Q2334">
        <v>0</v>
      </c>
      <c r="R2334">
        <v>34</v>
      </c>
      <c r="S2334">
        <v>238</v>
      </c>
      <c r="T2334">
        <v>0</v>
      </c>
      <c r="V2334">
        <v>0</v>
      </c>
      <c r="W2334">
        <v>1295</v>
      </c>
    </row>
    <row r="2335" spans="1:23" x14ac:dyDescent="0.25">
      <c r="H2335" t="s">
        <v>70</v>
      </c>
    </row>
    <row r="2336" spans="1:23" x14ac:dyDescent="0.25">
      <c r="A2336">
        <v>1165</v>
      </c>
      <c r="B2336">
        <v>443</v>
      </c>
      <c r="C2336" t="s">
        <v>3441</v>
      </c>
      <c r="D2336" t="s">
        <v>226</v>
      </c>
      <c r="E2336" t="s">
        <v>1081</v>
      </c>
      <c r="F2336" t="s">
        <v>3442</v>
      </c>
      <c r="G2336" t="str">
        <f>"00222603"</f>
        <v>00222603</v>
      </c>
      <c r="H2336" t="s">
        <v>465</v>
      </c>
      <c r="I2336">
        <v>150</v>
      </c>
      <c r="J2336">
        <v>0</v>
      </c>
      <c r="K2336">
        <v>0</v>
      </c>
      <c r="L2336">
        <v>0</v>
      </c>
      <c r="M2336">
        <v>0</v>
      </c>
      <c r="N2336">
        <v>0</v>
      </c>
      <c r="O2336">
        <v>0</v>
      </c>
      <c r="P2336">
        <v>0</v>
      </c>
      <c r="Q2336">
        <v>0</v>
      </c>
      <c r="R2336">
        <v>26</v>
      </c>
      <c r="S2336">
        <v>182</v>
      </c>
      <c r="T2336">
        <v>0</v>
      </c>
      <c r="V2336">
        <v>0</v>
      </c>
      <c r="W2336" t="s">
        <v>3443</v>
      </c>
    </row>
    <row r="2337" spans="1:23" x14ac:dyDescent="0.25">
      <c r="H2337">
        <v>703</v>
      </c>
    </row>
    <row r="2338" spans="1:23" x14ac:dyDescent="0.25">
      <c r="A2338">
        <v>1166</v>
      </c>
      <c r="B2338">
        <v>1439</v>
      </c>
      <c r="C2338" t="s">
        <v>103</v>
      </c>
      <c r="D2338" t="s">
        <v>28</v>
      </c>
      <c r="E2338" t="s">
        <v>91</v>
      </c>
      <c r="F2338" t="s">
        <v>3444</v>
      </c>
      <c r="G2338" t="str">
        <f>"00145399"</f>
        <v>00145399</v>
      </c>
      <c r="H2338" t="s">
        <v>1017</v>
      </c>
      <c r="I2338">
        <v>0</v>
      </c>
      <c r="J2338">
        <v>30</v>
      </c>
      <c r="K2338">
        <v>0</v>
      </c>
      <c r="L2338">
        <v>0</v>
      </c>
      <c r="M2338">
        <v>0</v>
      </c>
      <c r="N2338">
        <v>0</v>
      </c>
      <c r="O2338">
        <v>0</v>
      </c>
      <c r="P2338">
        <v>0</v>
      </c>
      <c r="Q2338">
        <v>0</v>
      </c>
      <c r="R2338">
        <v>53</v>
      </c>
      <c r="S2338">
        <v>371</v>
      </c>
      <c r="T2338">
        <v>0</v>
      </c>
      <c r="V2338">
        <v>0</v>
      </c>
      <c r="W2338" t="s">
        <v>3445</v>
      </c>
    </row>
    <row r="2339" spans="1:23" x14ac:dyDescent="0.25">
      <c r="H2339">
        <v>703</v>
      </c>
    </row>
    <row r="2340" spans="1:23" x14ac:dyDescent="0.25">
      <c r="A2340">
        <v>1167</v>
      </c>
      <c r="B2340">
        <v>1548</v>
      </c>
      <c r="C2340" t="s">
        <v>3446</v>
      </c>
      <c r="D2340" t="s">
        <v>911</v>
      </c>
      <c r="E2340" t="s">
        <v>113</v>
      </c>
      <c r="F2340" t="s">
        <v>3447</v>
      </c>
      <c r="G2340" t="str">
        <f>"00004333"</f>
        <v>00004333</v>
      </c>
      <c r="H2340" t="s">
        <v>209</v>
      </c>
      <c r="I2340">
        <v>0</v>
      </c>
      <c r="J2340">
        <v>70</v>
      </c>
      <c r="K2340">
        <v>70</v>
      </c>
      <c r="L2340">
        <v>70</v>
      </c>
      <c r="M2340">
        <v>0</v>
      </c>
      <c r="N2340">
        <v>0</v>
      </c>
      <c r="O2340">
        <v>0</v>
      </c>
      <c r="P2340">
        <v>0</v>
      </c>
      <c r="Q2340">
        <v>0</v>
      </c>
      <c r="R2340">
        <v>0</v>
      </c>
      <c r="S2340">
        <v>0</v>
      </c>
      <c r="T2340">
        <v>0</v>
      </c>
      <c r="V2340">
        <v>0</v>
      </c>
      <c r="W2340" t="s">
        <v>3448</v>
      </c>
    </row>
    <row r="2341" spans="1:23" x14ac:dyDescent="0.25">
      <c r="H2341" t="s">
        <v>26</v>
      </c>
    </row>
    <row r="2342" spans="1:23" x14ac:dyDescent="0.25">
      <c r="A2342">
        <v>1168</v>
      </c>
      <c r="B2342">
        <v>473</v>
      </c>
      <c r="C2342" t="s">
        <v>3449</v>
      </c>
      <c r="D2342" t="s">
        <v>57</v>
      </c>
      <c r="E2342" t="s">
        <v>76</v>
      </c>
      <c r="F2342" t="s">
        <v>3450</v>
      </c>
      <c r="G2342" t="str">
        <f>"201406003283"</f>
        <v>201406003283</v>
      </c>
      <c r="H2342" t="s">
        <v>137</v>
      </c>
      <c r="I2342">
        <v>150</v>
      </c>
      <c r="J2342">
        <v>70</v>
      </c>
      <c r="K2342">
        <v>0</v>
      </c>
      <c r="L2342">
        <v>0</v>
      </c>
      <c r="M2342">
        <v>0</v>
      </c>
      <c r="N2342">
        <v>0</v>
      </c>
      <c r="O2342">
        <v>0</v>
      </c>
      <c r="P2342">
        <v>0</v>
      </c>
      <c r="Q2342">
        <v>0</v>
      </c>
      <c r="R2342">
        <v>0</v>
      </c>
      <c r="S2342">
        <v>0</v>
      </c>
      <c r="T2342">
        <v>0</v>
      </c>
      <c r="V2342">
        <v>0</v>
      </c>
      <c r="W2342" t="s">
        <v>3451</v>
      </c>
    </row>
    <row r="2343" spans="1:23" x14ac:dyDescent="0.25">
      <c r="H2343">
        <v>703</v>
      </c>
    </row>
    <row r="2344" spans="1:23" x14ac:dyDescent="0.25">
      <c r="A2344">
        <v>1169</v>
      </c>
      <c r="B2344">
        <v>3120</v>
      </c>
      <c r="C2344" t="s">
        <v>3452</v>
      </c>
      <c r="D2344" t="s">
        <v>273</v>
      </c>
      <c r="E2344" t="s">
        <v>76</v>
      </c>
      <c r="F2344" t="s">
        <v>3453</v>
      </c>
      <c r="G2344" t="str">
        <f>"00016541"</f>
        <v>00016541</v>
      </c>
      <c r="H2344">
        <v>1012</v>
      </c>
      <c r="I2344">
        <v>0</v>
      </c>
      <c r="J2344">
        <v>70</v>
      </c>
      <c r="K2344">
        <v>0</v>
      </c>
      <c r="L2344">
        <v>0</v>
      </c>
      <c r="M2344">
        <v>0</v>
      </c>
      <c r="N2344">
        <v>0</v>
      </c>
      <c r="O2344">
        <v>0</v>
      </c>
      <c r="P2344">
        <v>0</v>
      </c>
      <c r="Q2344">
        <v>0</v>
      </c>
      <c r="R2344">
        <v>30</v>
      </c>
      <c r="S2344">
        <v>210</v>
      </c>
      <c r="T2344">
        <v>0</v>
      </c>
      <c r="V2344">
        <v>0</v>
      </c>
      <c r="W2344">
        <v>1292</v>
      </c>
    </row>
    <row r="2345" spans="1:23" x14ac:dyDescent="0.25">
      <c r="H2345">
        <v>703</v>
      </c>
    </row>
    <row r="2346" spans="1:23" x14ac:dyDescent="0.25">
      <c r="A2346">
        <v>1170</v>
      </c>
      <c r="B2346">
        <v>2860</v>
      </c>
      <c r="C2346" t="s">
        <v>3454</v>
      </c>
      <c r="D2346" t="s">
        <v>112</v>
      </c>
      <c r="E2346" t="s">
        <v>99</v>
      </c>
      <c r="F2346" t="s">
        <v>3455</v>
      </c>
      <c r="G2346" t="str">
        <f>"201402001179"</f>
        <v>201402001179</v>
      </c>
      <c r="H2346" t="s">
        <v>142</v>
      </c>
      <c r="I2346">
        <v>150</v>
      </c>
      <c r="J2346">
        <v>30</v>
      </c>
      <c r="K2346">
        <v>0</v>
      </c>
      <c r="L2346">
        <v>0</v>
      </c>
      <c r="M2346">
        <v>50</v>
      </c>
      <c r="N2346">
        <v>0</v>
      </c>
      <c r="O2346">
        <v>0</v>
      </c>
      <c r="P2346">
        <v>0</v>
      </c>
      <c r="Q2346">
        <v>0</v>
      </c>
      <c r="R2346">
        <v>0</v>
      </c>
      <c r="S2346">
        <v>0</v>
      </c>
      <c r="T2346">
        <v>0</v>
      </c>
      <c r="V2346">
        <v>0</v>
      </c>
      <c r="W2346" t="s">
        <v>3456</v>
      </c>
    </row>
    <row r="2347" spans="1:23" x14ac:dyDescent="0.25">
      <c r="H2347" t="s">
        <v>70</v>
      </c>
    </row>
    <row r="2348" spans="1:23" x14ac:dyDescent="0.25">
      <c r="A2348">
        <v>1171</v>
      </c>
      <c r="B2348">
        <v>644</v>
      </c>
      <c r="C2348" t="s">
        <v>1683</v>
      </c>
      <c r="D2348" t="s">
        <v>273</v>
      </c>
      <c r="E2348" t="s">
        <v>76</v>
      </c>
      <c r="F2348" t="s">
        <v>3457</v>
      </c>
      <c r="G2348" t="str">
        <f>"201510000933"</f>
        <v>201510000933</v>
      </c>
      <c r="H2348" t="s">
        <v>3325</v>
      </c>
      <c r="I2348">
        <v>0</v>
      </c>
      <c r="J2348">
        <v>0</v>
      </c>
      <c r="K2348">
        <v>0</v>
      </c>
      <c r="L2348">
        <v>0</v>
      </c>
      <c r="M2348">
        <v>0</v>
      </c>
      <c r="N2348">
        <v>0</v>
      </c>
      <c r="O2348">
        <v>0</v>
      </c>
      <c r="P2348">
        <v>0</v>
      </c>
      <c r="Q2348">
        <v>0</v>
      </c>
      <c r="R2348">
        <v>75</v>
      </c>
      <c r="S2348">
        <v>525</v>
      </c>
      <c r="T2348">
        <v>0</v>
      </c>
      <c r="V2348">
        <v>0</v>
      </c>
      <c r="W2348" t="s">
        <v>3458</v>
      </c>
    </row>
    <row r="2349" spans="1:23" x14ac:dyDescent="0.25">
      <c r="H2349">
        <v>703</v>
      </c>
    </row>
    <row r="2350" spans="1:23" x14ac:dyDescent="0.25">
      <c r="A2350">
        <v>1172</v>
      </c>
      <c r="B2350">
        <v>1704</v>
      </c>
      <c r="C2350" t="s">
        <v>1829</v>
      </c>
      <c r="D2350" t="s">
        <v>40</v>
      </c>
      <c r="E2350" t="s">
        <v>109</v>
      </c>
      <c r="F2350" t="s">
        <v>3459</v>
      </c>
      <c r="G2350" t="str">
        <f>"200905000351"</f>
        <v>200905000351</v>
      </c>
      <c r="H2350">
        <v>1034</v>
      </c>
      <c r="I2350">
        <v>0</v>
      </c>
      <c r="J2350">
        <v>30</v>
      </c>
      <c r="K2350">
        <v>0</v>
      </c>
      <c r="L2350">
        <v>50</v>
      </c>
      <c r="M2350">
        <v>0</v>
      </c>
      <c r="N2350">
        <v>0</v>
      </c>
      <c r="O2350">
        <v>0</v>
      </c>
      <c r="P2350">
        <v>0</v>
      </c>
      <c r="Q2350">
        <v>0</v>
      </c>
      <c r="R2350">
        <v>25</v>
      </c>
      <c r="S2350">
        <v>175</v>
      </c>
      <c r="T2350">
        <v>0</v>
      </c>
      <c r="V2350">
        <v>0</v>
      </c>
      <c r="W2350">
        <v>1289</v>
      </c>
    </row>
    <row r="2351" spans="1:23" x14ac:dyDescent="0.25">
      <c r="H2351" t="s">
        <v>70</v>
      </c>
    </row>
    <row r="2352" spans="1:23" x14ac:dyDescent="0.25">
      <c r="A2352">
        <v>1173</v>
      </c>
      <c r="B2352">
        <v>2746</v>
      </c>
      <c r="C2352" t="s">
        <v>225</v>
      </c>
      <c r="D2352" t="s">
        <v>2929</v>
      </c>
      <c r="E2352" t="s">
        <v>303</v>
      </c>
      <c r="F2352" t="s">
        <v>3460</v>
      </c>
      <c r="G2352" t="str">
        <f>"00050781"</f>
        <v>00050781</v>
      </c>
      <c r="H2352">
        <v>924</v>
      </c>
      <c r="I2352">
        <v>0</v>
      </c>
      <c r="J2352">
        <v>70</v>
      </c>
      <c r="K2352">
        <v>70</v>
      </c>
      <c r="L2352">
        <v>0</v>
      </c>
      <c r="M2352">
        <v>0</v>
      </c>
      <c r="N2352">
        <v>0</v>
      </c>
      <c r="O2352">
        <v>0</v>
      </c>
      <c r="P2352">
        <v>0</v>
      </c>
      <c r="Q2352">
        <v>0</v>
      </c>
      <c r="R2352">
        <v>32</v>
      </c>
      <c r="S2352">
        <v>224</v>
      </c>
      <c r="T2352">
        <v>0</v>
      </c>
      <c r="V2352">
        <v>0</v>
      </c>
      <c r="W2352">
        <v>1288</v>
      </c>
    </row>
    <row r="2353" spans="1:23" x14ac:dyDescent="0.25">
      <c r="H2353" t="s">
        <v>70</v>
      </c>
    </row>
    <row r="2354" spans="1:23" x14ac:dyDescent="0.25">
      <c r="A2354">
        <v>1174</v>
      </c>
      <c r="B2354">
        <v>497</v>
      </c>
      <c r="C2354" t="s">
        <v>3461</v>
      </c>
      <c r="D2354" t="s">
        <v>140</v>
      </c>
      <c r="E2354" t="s">
        <v>523</v>
      </c>
      <c r="F2354" t="s">
        <v>3462</v>
      </c>
      <c r="G2354" t="str">
        <f>"201507000325"</f>
        <v>201507000325</v>
      </c>
      <c r="H2354">
        <v>550</v>
      </c>
      <c r="I2354">
        <v>150</v>
      </c>
      <c r="J2354">
        <v>0</v>
      </c>
      <c r="K2354">
        <v>0</v>
      </c>
      <c r="L2354">
        <v>0</v>
      </c>
      <c r="M2354">
        <v>0</v>
      </c>
      <c r="N2354">
        <v>0</v>
      </c>
      <c r="O2354">
        <v>0</v>
      </c>
      <c r="P2354">
        <v>0</v>
      </c>
      <c r="Q2354">
        <v>0</v>
      </c>
      <c r="R2354">
        <v>84</v>
      </c>
      <c r="S2354">
        <v>588</v>
      </c>
      <c r="T2354">
        <v>0</v>
      </c>
      <c r="V2354">
        <v>0</v>
      </c>
      <c r="W2354">
        <v>1288</v>
      </c>
    </row>
    <row r="2355" spans="1:23" x14ac:dyDescent="0.25">
      <c r="H2355" t="s">
        <v>70</v>
      </c>
    </row>
    <row r="2356" spans="1:23" x14ac:dyDescent="0.25">
      <c r="A2356">
        <v>1175</v>
      </c>
      <c r="B2356">
        <v>3024</v>
      </c>
      <c r="C2356" t="s">
        <v>3463</v>
      </c>
      <c r="D2356" t="s">
        <v>53</v>
      </c>
      <c r="E2356" t="s">
        <v>21</v>
      </c>
      <c r="F2356" t="s">
        <v>3464</v>
      </c>
      <c r="G2356" t="str">
        <f>"00037947"</f>
        <v>00037947</v>
      </c>
      <c r="H2356" t="s">
        <v>3465</v>
      </c>
      <c r="I2356">
        <v>0</v>
      </c>
      <c r="J2356">
        <v>30</v>
      </c>
      <c r="K2356">
        <v>0</v>
      </c>
      <c r="L2356">
        <v>0</v>
      </c>
      <c r="M2356">
        <v>0</v>
      </c>
      <c r="N2356">
        <v>0</v>
      </c>
      <c r="O2356">
        <v>0</v>
      </c>
      <c r="P2356">
        <v>0</v>
      </c>
      <c r="Q2356">
        <v>0</v>
      </c>
      <c r="R2356">
        <v>84</v>
      </c>
      <c r="S2356">
        <v>588</v>
      </c>
      <c r="T2356">
        <v>0</v>
      </c>
      <c r="V2356">
        <v>2</v>
      </c>
      <c r="W2356" t="s">
        <v>3466</v>
      </c>
    </row>
    <row r="2357" spans="1:23" x14ac:dyDescent="0.25">
      <c r="H2357" t="s">
        <v>26</v>
      </c>
    </row>
    <row r="2358" spans="1:23" x14ac:dyDescent="0.25">
      <c r="A2358">
        <v>1176</v>
      </c>
      <c r="B2358">
        <v>3119</v>
      </c>
      <c r="C2358" t="s">
        <v>3467</v>
      </c>
      <c r="D2358" t="s">
        <v>273</v>
      </c>
      <c r="E2358" t="s">
        <v>1678</v>
      </c>
      <c r="F2358" t="s">
        <v>3468</v>
      </c>
      <c r="G2358" t="str">
        <f>"201511028808"</f>
        <v>201511028808</v>
      </c>
      <c r="H2358" t="s">
        <v>622</v>
      </c>
      <c r="I2358">
        <v>150</v>
      </c>
      <c r="J2358">
        <v>70</v>
      </c>
      <c r="K2358">
        <v>0</v>
      </c>
      <c r="L2358">
        <v>0</v>
      </c>
      <c r="M2358">
        <v>30</v>
      </c>
      <c r="N2358">
        <v>0</v>
      </c>
      <c r="O2358">
        <v>0</v>
      </c>
      <c r="P2358">
        <v>0</v>
      </c>
      <c r="Q2358">
        <v>0</v>
      </c>
      <c r="R2358">
        <v>9</v>
      </c>
      <c r="S2358">
        <v>63</v>
      </c>
      <c r="T2358">
        <v>0</v>
      </c>
      <c r="V2358">
        <v>0</v>
      </c>
      <c r="W2358" t="s">
        <v>3469</v>
      </c>
    </row>
    <row r="2359" spans="1:23" x14ac:dyDescent="0.25">
      <c r="H2359" t="s">
        <v>26</v>
      </c>
    </row>
    <row r="2360" spans="1:23" x14ac:dyDescent="0.25">
      <c r="A2360">
        <v>1177</v>
      </c>
      <c r="B2360">
        <v>2824</v>
      </c>
      <c r="C2360" t="s">
        <v>3470</v>
      </c>
      <c r="D2360" t="s">
        <v>722</v>
      </c>
      <c r="E2360" t="s">
        <v>109</v>
      </c>
      <c r="F2360" t="s">
        <v>3471</v>
      </c>
      <c r="G2360" t="str">
        <f>"00011381"</f>
        <v>00011381</v>
      </c>
      <c r="H2360" t="s">
        <v>385</v>
      </c>
      <c r="I2360">
        <v>150</v>
      </c>
      <c r="J2360">
        <v>70</v>
      </c>
      <c r="K2360">
        <v>50</v>
      </c>
      <c r="L2360">
        <v>0</v>
      </c>
      <c r="M2360">
        <v>0</v>
      </c>
      <c r="N2360">
        <v>0</v>
      </c>
      <c r="O2360">
        <v>0</v>
      </c>
      <c r="P2360">
        <v>0</v>
      </c>
      <c r="Q2360">
        <v>0</v>
      </c>
      <c r="R2360">
        <v>0</v>
      </c>
      <c r="S2360">
        <v>0</v>
      </c>
      <c r="T2360">
        <v>0</v>
      </c>
      <c r="V2360">
        <v>0</v>
      </c>
      <c r="W2360" t="s">
        <v>3472</v>
      </c>
    </row>
    <row r="2361" spans="1:23" x14ac:dyDescent="0.25">
      <c r="H2361" t="s">
        <v>70</v>
      </c>
    </row>
    <row r="2362" spans="1:23" x14ac:dyDescent="0.25">
      <c r="A2362">
        <v>1178</v>
      </c>
      <c r="B2362">
        <v>1348</v>
      </c>
      <c r="C2362" t="s">
        <v>3473</v>
      </c>
      <c r="D2362" t="s">
        <v>273</v>
      </c>
      <c r="E2362" t="s">
        <v>76</v>
      </c>
      <c r="F2362" t="s">
        <v>3474</v>
      </c>
      <c r="G2362" t="str">
        <f>"201511009279"</f>
        <v>201511009279</v>
      </c>
      <c r="H2362">
        <v>1045</v>
      </c>
      <c r="I2362">
        <v>150</v>
      </c>
      <c r="J2362">
        <v>50</v>
      </c>
      <c r="K2362">
        <v>0</v>
      </c>
      <c r="L2362">
        <v>0</v>
      </c>
      <c r="M2362">
        <v>0</v>
      </c>
      <c r="N2362">
        <v>0</v>
      </c>
      <c r="O2362">
        <v>0</v>
      </c>
      <c r="P2362">
        <v>0</v>
      </c>
      <c r="Q2362">
        <v>0</v>
      </c>
      <c r="R2362">
        <v>6</v>
      </c>
      <c r="S2362">
        <v>42</v>
      </c>
      <c r="T2362">
        <v>0</v>
      </c>
      <c r="V2362">
        <v>0</v>
      </c>
      <c r="W2362">
        <v>1287</v>
      </c>
    </row>
    <row r="2363" spans="1:23" x14ac:dyDescent="0.25">
      <c r="H2363" t="s">
        <v>1558</v>
      </c>
    </row>
    <row r="2364" spans="1:23" x14ac:dyDescent="0.25">
      <c r="A2364">
        <v>1179</v>
      </c>
      <c r="B2364">
        <v>1789</v>
      </c>
      <c r="C2364" t="s">
        <v>3475</v>
      </c>
      <c r="D2364" t="s">
        <v>273</v>
      </c>
      <c r="E2364" t="s">
        <v>99</v>
      </c>
      <c r="F2364" t="s">
        <v>3476</v>
      </c>
      <c r="G2364" t="str">
        <f>"201412005185"</f>
        <v>201412005185</v>
      </c>
      <c r="H2364" t="s">
        <v>2585</v>
      </c>
      <c r="I2364">
        <v>0</v>
      </c>
      <c r="J2364">
        <v>30</v>
      </c>
      <c r="K2364">
        <v>0</v>
      </c>
      <c r="L2364">
        <v>0</v>
      </c>
      <c r="M2364">
        <v>0</v>
      </c>
      <c r="N2364">
        <v>0</v>
      </c>
      <c r="O2364">
        <v>0</v>
      </c>
      <c r="P2364">
        <v>0</v>
      </c>
      <c r="Q2364">
        <v>0</v>
      </c>
      <c r="R2364">
        <v>55</v>
      </c>
      <c r="S2364">
        <v>385</v>
      </c>
      <c r="T2364">
        <v>0</v>
      </c>
      <c r="V2364">
        <v>1</v>
      </c>
      <c r="W2364" t="s">
        <v>3477</v>
      </c>
    </row>
    <row r="2365" spans="1:23" x14ac:dyDescent="0.25">
      <c r="H2365">
        <v>703</v>
      </c>
    </row>
    <row r="2366" spans="1:23" x14ac:dyDescent="0.25">
      <c r="A2366">
        <v>1180</v>
      </c>
      <c r="B2366">
        <v>1431</v>
      </c>
      <c r="C2366" t="s">
        <v>3478</v>
      </c>
      <c r="D2366" t="s">
        <v>3479</v>
      </c>
      <c r="E2366" t="s">
        <v>482</v>
      </c>
      <c r="F2366" t="s">
        <v>3480</v>
      </c>
      <c r="G2366" t="str">
        <f>"201304005105"</f>
        <v>201304005105</v>
      </c>
      <c r="H2366">
        <v>935</v>
      </c>
      <c r="I2366">
        <v>0</v>
      </c>
      <c r="J2366">
        <v>70</v>
      </c>
      <c r="K2366">
        <v>0</v>
      </c>
      <c r="L2366">
        <v>50</v>
      </c>
      <c r="M2366">
        <v>0</v>
      </c>
      <c r="N2366">
        <v>0</v>
      </c>
      <c r="O2366">
        <v>0</v>
      </c>
      <c r="P2366">
        <v>0</v>
      </c>
      <c r="Q2366">
        <v>0</v>
      </c>
      <c r="R2366">
        <v>33</v>
      </c>
      <c r="S2366">
        <v>231</v>
      </c>
      <c r="T2366">
        <v>0</v>
      </c>
      <c r="V2366">
        <v>0</v>
      </c>
      <c r="W2366">
        <v>1286</v>
      </c>
    </row>
    <row r="2367" spans="1:23" x14ac:dyDescent="0.25">
      <c r="H2367" t="s">
        <v>70</v>
      </c>
    </row>
    <row r="2368" spans="1:23" x14ac:dyDescent="0.25">
      <c r="A2368">
        <v>1181</v>
      </c>
      <c r="B2368">
        <v>2790</v>
      </c>
      <c r="C2368" t="s">
        <v>3481</v>
      </c>
      <c r="D2368" t="s">
        <v>24</v>
      </c>
      <c r="E2368" t="s">
        <v>1273</v>
      </c>
      <c r="F2368" t="s">
        <v>3482</v>
      </c>
      <c r="G2368" t="str">
        <f>"201201000129"</f>
        <v>201201000129</v>
      </c>
      <c r="H2368" t="s">
        <v>1238</v>
      </c>
      <c r="I2368">
        <v>0</v>
      </c>
      <c r="J2368">
        <v>50</v>
      </c>
      <c r="K2368">
        <v>0</v>
      </c>
      <c r="L2368">
        <v>0</v>
      </c>
      <c r="M2368">
        <v>0</v>
      </c>
      <c r="N2368">
        <v>0</v>
      </c>
      <c r="O2368">
        <v>0</v>
      </c>
      <c r="P2368">
        <v>0</v>
      </c>
      <c r="Q2368">
        <v>0</v>
      </c>
      <c r="R2368">
        <v>50</v>
      </c>
      <c r="S2368">
        <v>350</v>
      </c>
      <c r="T2368">
        <v>0</v>
      </c>
      <c r="V2368">
        <v>1</v>
      </c>
      <c r="W2368" t="s">
        <v>3483</v>
      </c>
    </row>
    <row r="2369" spans="1:23" x14ac:dyDescent="0.25">
      <c r="H2369">
        <v>703</v>
      </c>
    </row>
    <row r="2370" spans="1:23" x14ac:dyDescent="0.25">
      <c r="A2370">
        <v>1182</v>
      </c>
      <c r="B2370">
        <v>2554</v>
      </c>
      <c r="C2370" t="s">
        <v>3484</v>
      </c>
      <c r="D2370" t="s">
        <v>32</v>
      </c>
      <c r="E2370" t="s">
        <v>752</v>
      </c>
      <c r="F2370" t="s">
        <v>3485</v>
      </c>
      <c r="G2370" t="str">
        <f>"00227236"</f>
        <v>00227236</v>
      </c>
      <c r="H2370">
        <v>1100</v>
      </c>
      <c r="I2370">
        <v>150</v>
      </c>
      <c r="J2370">
        <v>0</v>
      </c>
      <c r="K2370">
        <v>0</v>
      </c>
      <c r="L2370">
        <v>0</v>
      </c>
      <c r="M2370">
        <v>0</v>
      </c>
      <c r="N2370">
        <v>0</v>
      </c>
      <c r="O2370">
        <v>0</v>
      </c>
      <c r="P2370">
        <v>0</v>
      </c>
      <c r="Q2370">
        <v>0</v>
      </c>
      <c r="R2370">
        <v>5</v>
      </c>
      <c r="S2370">
        <v>35</v>
      </c>
      <c r="T2370">
        <v>0</v>
      </c>
      <c r="V2370">
        <v>0</v>
      </c>
      <c r="W2370">
        <v>1285</v>
      </c>
    </row>
    <row r="2371" spans="1:23" x14ac:dyDescent="0.25">
      <c r="H2371">
        <v>703</v>
      </c>
    </row>
    <row r="2372" spans="1:23" x14ac:dyDescent="0.25">
      <c r="A2372">
        <v>1183</v>
      </c>
      <c r="B2372">
        <v>213</v>
      </c>
      <c r="C2372" t="s">
        <v>516</v>
      </c>
      <c r="D2372" t="s">
        <v>40</v>
      </c>
      <c r="E2372" t="s">
        <v>41</v>
      </c>
      <c r="F2372" t="s">
        <v>3486</v>
      </c>
      <c r="G2372" t="str">
        <f>"201406006153"</f>
        <v>201406006153</v>
      </c>
      <c r="H2372">
        <v>990</v>
      </c>
      <c r="I2372">
        <v>0</v>
      </c>
      <c r="J2372">
        <v>70</v>
      </c>
      <c r="K2372">
        <v>0</v>
      </c>
      <c r="L2372">
        <v>0</v>
      </c>
      <c r="M2372">
        <v>0</v>
      </c>
      <c r="N2372">
        <v>0</v>
      </c>
      <c r="O2372">
        <v>0</v>
      </c>
      <c r="P2372">
        <v>0</v>
      </c>
      <c r="Q2372">
        <v>0</v>
      </c>
      <c r="R2372">
        <v>32</v>
      </c>
      <c r="S2372">
        <v>224</v>
      </c>
      <c r="T2372">
        <v>0</v>
      </c>
      <c r="V2372">
        <v>2</v>
      </c>
      <c r="W2372">
        <v>1284</v>
      </c>
    </row>
    <row r="2373" spans="1:23" x14ac:dyDescent="0.25">
      <c r="H2373">
        <v>703</v>
      </c>
    </row>
    <row r="2374" spans="1:23" x14ac:dyDescent="0.25">
      <c r="A2374">
        <v>1184</v>
      </c>
      <c r="B2374">
        <v>3078</v>
      </c>
      <c r="C2374" t="s">
        <v>3487</v>
      </c>
      <c r="D2374" t="s">
        <v>344</v>
      </c>
      <c r="E2374" t="s">
        <v>109</v>
      </c>
      <c r="F2374" t="s">
        <v>3488</v>
      </c>
      <c r="G2374" t="str">
        <f>"00071572"</f>
        <v>00071572</v>
      </c>
      <c r="H2374" t="s">
        <v>3489</v>
      </c>
      <c r="I2374">
        <v>150</v>
      </c>
      <c r="J2374">
        <v>0</v>
      </c>
      <c r="K2374">
        <v>0</v>
      </c>
      <c r="L2374">
        <v>0</v>
      </c>
      <c r="M2374">
        <v>0</v>
      </c>
      <c r="N2374">
        <v>0</v>
      </c>
      <c r="O2374">
        <v>0</v>
      </c>
      <c r="P2374">
        <v>0</v>
      </c>
      <c r="Q2374">
        <v>0</v>
      </c>
      <c r="R2374">
        <v>63</v>
      </c>
      <c r="S2374">
        <v>441</v>
      </c>
      <c r="T2374">
        <v>0</v>
      </c>
      <c r="V2374">
        <v>1</v>
      </c>
      <c r="W2374" t="s">
        <v>3490</v>
      </c>
    </row>
    <row r="2375" spans="1:23" x14ac:dyDescent="0.25">
      <c r="H2375">
        <v>703</v>
      </c>
    </row>
    <row r="2376" spans="1:23" x14ac:dyDescent="0.25">
      <c r="A2376">
        <v>1185</v>
      </c>
      <c r="B2376">
        <v>1347</v>
      </c>
      <c r="C2376" t="s">
        <v>3491</v>
      </c>
      <c r="D2376" t="s">
        <v>140</v>
      </c>
      <c r="E2376" t="s">
        <v>592</v>
      </c>
      <c r="F2376" t="s">
        <v>3492</v>
      </c>
      <c r="G2376" t="str">
        <f>"00197232"</f>
        <v>00197232</v>
      </c>
      <c r="H2376" t="s">
        <v>978</v>
      </c>
      <c r="I2376">
        <v>150</v>
      </c>
      <c r="J2376">
        <v>0</v>
      </c>
      <c r="K2376">
        <v>0</v>
      </c>
      <c r="L2376">
        <v>0</v>
      </c>
      <c r="M2376">
        <v>0</v>
      </c>
      <c r="N2376">
        <v>0</v>
      </c>
      <c r="O2376">
        <v>0</v>
      </c>
      <c r="P2376">
        <v>0</v>
      </c>
      <c r="Q2376">
        <v>0</v>
      </c>
      <c r="R2376">
        <v>35</v>
      </c>
      <c r="S2376">
        <v>245</v>
      </c>
      <c r="T2376">
        <v>0</v>
      </c>
      <c r="V2376">
        <v>0</v>
      </c>
      <c r="W2376" t="s">
        <v>3493</v>
      </c>
    </row>
    <row r="2377" spans="1:23" x14ac:dyDescent="0.25">
      <c r="H2377">
        <v>703</v>
      </c>
    </row>
    <row r="2378" spans="1:23" x14ac:dyDescent="0.25">
      <c r="A2378">
        <v>1186</v>
      </c>
      <c r="B2378">
        <v>1254</v>
      </c>
      <c r="C2378" t="s">
        <v>3494</v>
      </c>
      <c r="D2378" t="s">
        <v>527</v>
      </c>
      <c r="E2378" t="s">
        <v>47</v>
      </c>
      <c r="F2378" t="s">
        <v>3495</v>
      </c>
      <c r="G2378" t="str">
        <f>"00002951"</f>
        <v>00002951</v>
      </c>
      <c r="H2378" t="s">
        <v>2656</v>
      </c>
      <c r="I2378">
        <v>150</v>
      </c>
      <c r="J2378">
        <v>50</v>
      </c>
      <c r="K2378">
        <v>0</v>
      </c>
      <c r="L2378">
        <v>0</v>
      </c>
      <c r="M2378">
        <v>0</v>
      </c>
      <c r="N2378">
        <v>0</v>
      </c>
      <c r="O2378">
        <v>0</v>
      </c>
      <c r="P2378">
        <v>0</v>
      </c>
      <c r="Q2378">
        <v>0</v>
      </c>
      <c r="R2378">
        <v>0</v>
      </c>
      <c r="S2378">
        <v>0</v>
      </c>
      <c r="T2378">
        <v>0</v>
      </c>
      <c r="V2378">
        <v>0</v>
      </c>
      <c r="W2378" t="s">
        <v>3496</v>
      </c>
    </row>
    <row r="2379" spans="1:23" x14ac:dyDescent="0.25">
      <c r="H2379" t="s">
        <v>70</v>
      </c>
    </row>
    <row r="2380" spans="1:23" x14ac:dyDescent="0.25">
      <c r="A2380">
        <v>1187</v>
      </c>
      <c r="B2380">
        <v>1306</v>
      </c>
      <c r="C2380" t="s">
        <v>3497</v>
      </c>
      <c r="D2380" t="s">
        <v>46</v>
      </c>
      <c r="E2380" t="s">
        <v>2469</v>
      </c>
      <c r="F2380" t="s">
        <v>3498</v>
      </c>
      <c r="G2380" t="str">
        <f>"00225010"</f>
        <v>00225010</v>
      </c>
      <c r="H2380">
        <v>726</v>
      </c>
      <c r="I2380">
        <v>150</v>
      </c>
      <c r="J2380">
        <v>0</v>
      </c>
      <c r="K2380">
        <v>0</v>
      </c>
      <c r="L2380">
        <v>0</v>
      </c>
      <c r="M2380">
        <v>0</v>
      </c>
      <c r="N2380">
        <v>0</v>
      </c>
      <c r="O2380">
        <v>0</v>
      </c>
      <c r="P2380">
        <v>0</v>
      </c>
      <c r="Q2380">
        <v>0</v>
      </c>
      <c r="R2380">
        <v>58</v>
      </c>
      <c r="S2380">
        <v>406</v>
      </c>
      <c r="T2380">
        <v>0</v>
      </c>
      <c r="V2380">
        <v>0</v>
      </c>
      <c r="W2380">
        <v>1282</v>
      </c>
    </row>
    <row r="2381" spans="1:23" x14ac:dyDescent="0.25">
      <c r="H2381">
        <v>703</v>
      </c>
    </row>
    <row r="2382" spans="1:23" x14ac:dyDescent="0.25">
      <c r="A2382">
        <v>1188</v>
      </c>
      <c r="B2382">
        <v>2841</v>
      </c>
      <c r="C2382" t="s">
        <v>3499</v>
      </c>
      <c r="D2382" t="s">
        <v>37</v>
      </c>
      <c r="E2382" t="s">
        <v>109</v>
      </c>
      <c r="F2382" t="s">
        <v>3500</v>
      </c>
      <c r="G2382" t="str">
        <f>"00010969"</f>
        <v>00010969</v>
      </c>
      <c r="H2382" t="s">
        <v>202</v>
      </c>
      <c r="I2382">
        <v>0</v>
      </c>
      <c r="J2382">
        <v>70</v>
      </c>
      <c r="K2382">
        <v>30</v>
      </c>
      <c r="L2382">
        <v>0</v>
      </c>
      <c r="M2382">
        <v>0</v>
      </c>
      <c r="N2382">
        <v>0</v>
      </c>
      <c r="O2382">
        <v>0</v>
      </c>
      <c r="P2382">
        <v>0</v>
      </c>
      <c r="Q2382">
        <v>0</v>
      </c>
      <c r="R2382">
        <v>28</v>
      </c>
      <c r="S2382">
        <v>196</v>
      </c>
      <c r="T2382">
        <v>0</v>
      </c>
      <c r="V2382">
        <v>0</v>
      </c>
      <c r="W2382" t="s">
        <v>3501</v>
      </c>
    </row>
    <row r="2383" spans="1:23" x14ac:dyDescent="0.25">
      <c r="H2383" t="s">
        <v>26</v>
      </c>
    </row>
    <row r="2384" spans="1:23" x14ac:dyDescent="0.25">
      <c r="A2384">
        <v>1189</v>
      </c>
      <c r="B2384">
        <v>1032</v>
      </c>
      <c r="C2384" t="s">
        <v>3502</v>
      </c>
      <c r="D2384" t="s">
        <v>610</v>
      </c>
      <c r="E2384" t="s">
        <v>53</v>
      </c>
      <c r="F2384" t="s">
        <v>3503</v>
      </c>
      <c r="G2384" t="str">
        <f>"201406006122"</f>
        <v>201406006122</v>
      </c>
      <c r="H2384">
        <v>1100</v>
      </c>
      <c r="I2384">
        <v>150</v>
      </c>
      <c r="J2384">
        <v>30</v>
      </c>
      <c r="K2384">
        <v>0</v>
      </c>
      <c r="L2384">
        <v>0</v>
      </c>
      <c r="M2384">
        <v>0</v>
      </c>
      <c r="N2384">
        <v>0</v>
      </c>
      <c r="O2384">
        <v>0</v>
      </c>
      <c r="P2384">
        <v>0</v>
      </c>
      <c r="Q2384">
        <v>0</v>
      </c>
      <c r="R2384">
        <v>0</v>
      </c>
      <c r="S2384">
        <v>0</v>
      </c>
      <c r="T2384">
        <v>0</v>
      </c>
      <c r="V2384">
        <v>0</v>
      </c>
      <c r="W2384">
        <v>1280</v>
      </c>
    </row>
    <row r="2385" spans="1:23" x14ac:dyDescent="0.25">
      <c r="H2385">
        <v>703</v>
      </c>
    </row>
    <row r="2386" spans="1:23" x14ac:dyDescent="0.25">
      <c r="A2386">
        <v>1190</v>
      </c>
      <c r="B2386">
        <v>2829</v>
      </c>
      <c r="C2386" t="s">
        <v>3504</v>
      </c>
      <c r="D2386" t="s">
        <v>185</v>
      </c>
      <c r="E2386" t="s">
        <v>2180</v>
      </c>
      <c r="F2386" t="s">
        <v>3505</v>
      </c>
      <c r="G2386" t="str">
        <f>"00145435"</f>
        <v>00145435</v>
      </c>
      <c r="H2386">
        <v>1100</v>
      </c>
      <c r="I2386">
        <v>150</v>
      </c>
      <c r="J2386">
        <v>30</v>
      </c>
      <c r="K2386">
        <v>0</v>
      </c>
      <c r="L2386">
        <v>0</v>
      </c>
      <c r="M2386">
        <v>0</v>
      </c>
      <c r="N2386">
        <v>0</v>
      </c>
      <c r="O2386">
        <v>0</v>
      </c>
      <c r="P2386">
        <v>0</v>
      </c>
      <c r="Q2386">
        <v>0</v>
      </c>
      <c r="R2386">
        <v>0</v>
      </c>
      <c r="S2386">
        <v>0</v>
      </c>
      <c r="T2386">
        <v>0</v>
      </c>
      <c r="V2386">
        <v>0</v>
      </c>
      <c r="W2386">
        <v>1280</v>
      </c>
    </row>
    <row r="2387" spans="1:23" x14ac:dyDescent="0.25">
      <c r="H2387">
        <v>703</v>
      </c>
    </row>
    <row r="2388" spans="1:23" x14ac:dyDescent="0.25">
      <c r="A2388">
        <v>1191</v>
      </c>
      <c r="B2388">
        <v>1903</v>
      </c>
      <c r="C2388" t="s">
        <v>3506</v>
      </c>
      <c r="D2388" t="s">
        <v>1768</v>
      </c>
      <c r="E2388" t="s">
        <v>523</v>
      </c>
      <c r="F2388" t="s">
        <v>3507</v>
      </c>
      <c r="G2388" t="str">
        <f>"201511041851"</f>
        <v>201511041851</v>
      </c>
      <c r="H2388">
        <v>1100</v>
      </c>
      <c r="I2388">
        <v>150</v>
      </c>
      <c r="J2388">
        <v>30</v>
      </c>
      <c r="K2388">
        <v>0</v>
      </c>
      <c r="L2388">
        <v>0</v>
      </c>
      <c r="M2388">
        <v>0</v>
      </c>
      <c r="N2388">
        <v>0</v>
      </c>
      <c r="O2388">
        <v>0</v>
      </c>
      <c r="P2388">
        <v>0</v>
      </c>
      <c r="Q2388">
        <v>0</v>
      </c>
      <c r="R2388">
        <v>0</v>
      </c>
      <c r="S2388">
        <v>0</v>
      </c>
      <c r="T2388">
        <v>0</v>
      </c>
      <c r="V2388">
        <v>0</v>
      </c>
      <c r="W2388">
        <v>1280</v>
      </c>
    </row>
    <row r="2389" spans="1:23" x14ac:dyDescent="0.25">
      <c r="H2389">
        <v>703</v>
      </c>
    </row>
    <row r="2390" spans="1:23" x14ac:dyDescent="0.25">
      <c r="A2390">
        <v>1192</v>
      </c>
      <c r="B2390">
        <v>1465</v>
      </c>
      <c r="C2390" t="s">
        <v>3508</v>
      </c>
      <c r="D2390" t="s">
        <v>140</v>
      </c>
      <c r="E2390" t="s">
        <v>105</v>
      </c>
      <c r="F2390" t="s">
        <v>3509</v>
      </c>
      <c r="G2390" t="str">
        <f>"201511026650"</f>
        <v>201511026650</v>
      </c>
      <c r="H2390" t="s">
        <v>232</v>
      </c>
      <c r="I2390">
        <v>0</v>
      </c>
      <c r="J2390">
        <v>0</v>
      </c>
      <c r="K2390">
        <v>0</v>
      </c>
      <c r="L2390">
        <v>0</v>
      </c>
      <c r="M2390">
        <v>0</v>
      </c>
      <c r="N2390">
        <v>0</v>
      </c>
      <c r="O2390">
        <v>0</v>
      </c>
      <c r="P2390">
        <v>0</v>
      </c>
      <c r="Q2390">
        <v>0</v>
      </c>
      <c r="R2390">
        <v>29</v>
      </c>
      <c r="S2390">
        <v>203</v>
      </c>
      <c r="T2390">
        <v>0</v>
      </c>
      <c r="V2390">
        <v>1</v>
      </c>
      <c r="W2390" t="s">
        <v>3510</v>
      </c>
    </row>
    <row r="2391" spans="1:23" x14ac:dyDescent="0.25">
      <c r="H2391">
        <v>703</v>
      </c>
    </row>
    <row r="2392" spans="1:23" x14ac:dyDescent="0.25">
      <c r="A2392">
        <v>1193</v>
      </c>
      <c r="B2392">
        <v>153</v>
      </c>
      <c r="C2392" t="s">
        <v>3511</v>
      </c>
      <c r="D2392" t="s">
        <v>912</v>
      </c>
      <c r="E2392" t="s">
        <v>356</v>
      </c>
      <c r="F2392" t="s">
        <v>3512</v>
      </c>
      <c r="G2392" t="str">
        <f>"00185723"</f>
        <v>00185723</v>
      </c>
      <c r="H2392" t="s">
        <v>202</v>
      </c>
      <c r="I2392">
        <v>0</v>
      </c>
      <c r="J2392">
        <v>0</v>
      </c>
      <c r="K2392">
        <v>0</v>
      </c>
      <c r="L2392">
        <v>0</v>
      </c>
      <c r="M2392">
        <v>0</v>
      </c>
      <c r="N2392">
        <v>0</v>
      </c>
      <c r="O2392">
        <v>0</v>
      </c>
      <c r="P2392">
        <v>0</v>
      </c>
      <c r="Q2392">
        <v>0</v>
      </c>
      <c r="R2392">
        <v>42</v>
      </c>
      <c r="S2392">
        <v>294</v>
      </c>
      <c r="T2392">
        <v>0</v>
      </c>
      <c r="V2392">
        <v>0</v>
      </c>
      <c r="W2392" t="s">
        <v>3513</v>
      </c>
    </row>
    <row r="2393" spans="1:23" x14ac:dyDescent="0.25">
      <c r="H2393">
        <v>703</v>
      </c>
    </row>
    <row r="2394" spans="1:23" x14ac:dyDescent="0.25">
      <c r="A2394">
        <v>1194</v>
      </c>
      <c r="B2394">
        <v>673</v>
      </c>
      <c r="C2394" t="s">
        <v>3514</v>
      </c>
      <c r="D2394" t="s">
        <v>67</v>
      </c>
      <c r="E2394" t="s">
        <v>369</v>
      </c>
      <c r="F2394" t="s">
        <v>3515</v>
      </c>
      <c r="G2394" t="str">
        <f>"200811000134"</f>
        <v>200811000134</v>
      </c>
      <c r="H2394">
        <v>660</v>
      </c>
      <c r="I2394">
        <v>0</v>
      </c>
      <c r="J2394">
        <v>30</v>
      </c>
      <c r="K2394">
        <v>0</v>
      </c>
      <c r="L2394">
        <v>0</v>
      </c>
      <c r="M2394">
        <v>0</v>
      </c>
      <c r="N2394">
        <v>0</v>
      </c>
      <c r="O2394">
        <v>0</v>
      </c>
      <c r="P2394">
        <v>0</v>
      </c>
      <c r="Q2394">
        <v>0</v>
      </c>
      <c r="R2394">
        <v>84</v>
      </c>
      <c r="S2394">
        <v>588</v>
      </c>
      <c r="T2394">
        <v>0</v>
      </c>
      <c r="V2394">
        <v>2</v>
      </c>
      <c r="W2394">
        <v>1278</v>
      </c>
    </row>
    <row r="2395" spans="1:23" x14ac:dyDescent="0.25">
      <c r="H2395" t="s">
        <v>70</v>
      </c>
    </row>
    <row r="2396" spans="1:23" x14ac:dyDescent="0.25">
      <c r="A2396">
        <v>1195</v>
      </c>
      <c r="B2396">
        <v>1641</v>
      </c>
      <c r="C2396" t="s">
        <v>3516</v>
      </c>
      <c r="D2396" t="s">
        <v>3517</v>
      </c>
      <c r="E2396" t="s">
        <v>3518</v>
      </c>
      <c r="F2396" t="s">
        <v>3519</v>
      </c>
      <c r="G2396" t="str">
        <f>"00016574"</f>
        <v>00016574</v>
      </c>
      <c r="H2396" t="s">
        <v>217</v>
      </c>
      <c r="I2396">
        <v>0</v>
      </c>
      <c r="J2396">
        <v>30</v>
      </c>
      <c r="K2396">
        <v>0</v>
      </c>
      <c r="L2396">
        <v>0</v>
      </c>
      <c r="M2396">
        <v>30</v>
      </c>
      <c r="N2396">
        <v>0</v>
      </c>
      <c r="O2396">
        <v>0</v>
      </c>
      <c r="P2396">
        <v>0</v>
      </c>
      <c r="Q2396">
        <v>0</v>
      </c>
      <c r="R2396">
        <v>38</v>
      </c>
      <c r="S2396">
        <v>266</v>
      </c>
      <c r="T2396">
        <v>0</v>
      </c>
      <c r="V2396">
        <v>0</v>
      </c>
      <c r="W2396" t="s">
        <v>3520</v>
      </c>
    </row>
    <row r="2397" spans="1:23" x14ac:dyDescent="0.25">
      <c r="H2397" t="s">
        <v>70</v>
      </c>
    </row>
    <row r="2398" spans="1:23" x14ac:dyDescent="0.25">
      <c r="A2398">
        <v>1196</v>
      </c>
      <c r="B2398">
        <v>949</v>
      </c>
      <c r="C2398" t="s">
        <v>3521</v>
      </c>
      <c r="D2398" t="s">
        <v>989</v>
      </c>
      <c r="E2398" t="s">
        <v>62</v>
      </c>
      <c r="F2398" t="s">
        <v>3522</v>
      </c>
      <c r="G2398" t="str">
        <f>"00141436"</f>
        <v>00141436</v>
      </c>
      <c r="H2398" t="s">
        <v>3523</v>
      </c>
      <c r="I2398">
        <v>0</v>
      </c>
      <c r="J2398">
        <v>0</v>
      </c>
      <c r="K2398">
        <v>0</v>
      </c>
      <c r="L2398">
        <v>0</v>
      </c>
      <c r="M2398">
        <v>0</v>
      </c>
      <c r="N2398">
        <v>0</v>
      </c>
      <c r="O2398">
        <v>0</v>
      </c>
      <c r="P2398">
        <v>0</v>
      </c>
      <c r="Q2398">
        <v>0</v>
      </c>
      <c r="R2398">
        <v>69</v>
      </c>
      <c r="S2398">
        <v>483</v>
      </c>
      <c r="T2398">
        <v>0</v>
      </c>
      <c r="V2398">
        <v>0</v>
      </c>
      <c r="W2398" t="s">
        <v>3524</v>
      </c>
    </row>
    <row r="2399" spans="1:23" x14ac:dyDescent="0.25">
      <c r="H2399">
        <v>703</v>
      </c>
    </row>
    <row r="2400" spans="1:23" x14ac:dyDescent="0.25">
      <c r="A2400">
        <v>1197</v>
      </c>
      <c r="B2400">
        <v>54</v>
      </c>
      <c r="C2400" t="s">
        <v>278</v>
      </c>
      <c r="D2400" t="s">
        <v>273</v>
      </c>
      <c r="E2400" t="s">
        <v>29</v>
      </c>
      <c r="F2400" t="s">
        <v>3525</v>
      </c>
      <c r="G2400" t="str">
        <f>"00091683"</f>
        <v>00091683</v>
      </c>
      <c r="H2400" t="s">
        <v>579</v>
      </c>
      <c r="I2400">
        <v>150</v>
      </c>
      <c r="J2400">
        <v>70</v>
      </c>
      <c r="K2400">
        <v>0</v>
      </c>
      <c r="L2400">
        <v>30</v>
      </c>
      <c r="M2400">
        <v>0</v>
      </c>
      <c r="N2400">
        <v>0</v>
      </c>
      <c r="O2400">
        <v>0</v>
      </c>
      <c r="P2400">
        <v>0</v>
      </c>
      <c r="Q2400">
        <v>0</v>
      </c>
      <c r="R2400">
        <v>11</v>
      </c>
      <c r="S2400">
        <v>77</v>
      </c>
      <c r="T2400">
        <v>0</v>
      </c>
      <c r="V2400">
        <v>2</v>
      </c>
      <c r="W2400" t="s">
        <v>3526</v>
      </c>
    </row>
    <row r="2401" spans="1:23" x14ac:dyDescent="0.25">
      <c r="H2401" t="s">
        <v>26</v>
      </c>
    </row>
    <row r="2402" spans="1:23" x14ac:dyDescent="0.25">
      <c r="A2402">
        <v>1198</v>
      </c>
      <c r="B2402">
        <v>3048</v>
      </c>
      <c r="C2402" t="s">
        <v>3527</v>
      </c>
      <c r="D2402" t="s">
        <v>597</v>
      </c>
      <c r="E2402" t="s">
        <v>76</v>
      </c>
      <c r="F2402" t="s">
        <v>3528</v>
      </c>
      <c r="G2402" t="str">
        <f>"00104042"</f>
        <v>00104042</v>
      </c>
      <c r="H2402">
        <v>825</v>
      </c>
      <c r="I2402">
        <v>150</v>
      </c>
      <c r="J2402">
        <v>0</v>
      </c>
      <c r="K2402">
        <v>0</v>
      </c>
      <c r="L2402">
        <v>0</v>
      </c>
      <c r="M2402">
        <v>0</v>
      </c>
      <c r="N2402">
        <v>0</v>
      </c>
      <c r="O2402">
        <v>0</v>
      </c>
      <c r="P2402">
        <v>0</v>
      </c>
      <c r="Q2402">
        <v>0</v>
      </c>
      <c r="R2402">
        <v>43</v>
      </c>
      <c r="S2402">
        <v>301</v>
      </c>
      <c r="T2402">
        <v>0</v>
      </c>
      <c r="V2402">
        <v>0</v>
      </c>
      <c r="W2402">
        <v>1276</v>
      </c>
    </row>
    <row r="2403" spans="1:23" x14ac:dyDescent="0.25">
      <c r="H2403">
        <v>703</v>
      </c>
    </row>
    <row r="2404" spans="1:23" x14ac:dyDescent="0.25">
      <c r="A2404">
        <v>1199</v>
      </c>
      <c r="B2404">
        <v>2587</v>
      </c>
      <c r="C2404" t="s">
        <v>3529</v>
      </c>
      <c r="D2404" t="s">
        <v>248</v>
      </c>
      <c r="E2404" t="s">
        <v>109</v>
      </c>
      <c r="F2404" t="s">
        <v>3530</v>
      </c>
      <c r="G2404" t="str">
        <f>"00230259"</f>
        <v>00230259</v>
      </c>
      <c r="H2404">
        <v>880</v>
      </c>
      <c r="I2404">
        <v>150</v>
      </c>
      <c r="J2404">
        <v>0</v>
      </c>
      <c r="K2404">
        <v>0</v>
      </c>
      <c r="L2404">
        <v>0</v>
      </c>
      <c r="M2404">
        <v>0</v>
      </c>
      <c r="N2404">
        <v>0</v>
      </c>
      <c r="O2404">
        <v>0</v>
      </c>
      <c r="P2404">
        <v>0</v>
      </c>
      <c r="Q2404">
        <v>0</v>
      </c>
      <c r="R2404">
        <v>35</v>
      </c>
      <c r="S2404">
        <v>245</v>
      </c>
      <c r="T2404">
        <v>0</v>
      </c>
      <c r="V2404">
        <v>1</v>
      </c>
      <c r="W2404">
        <v>1275</v>
      </c>
    </row>
    <row r="2405" spans="1:23" x14ac:dyDescent="0.25">
      <c r="H2405" t="s">
        <v>26</v>
      </c>
    </row>
    <row r="2406" spans="1:23" x14ac:dyDescent="0.25">
      <c r="A2406">
        <v>1200</v>
      </c>
      <c r="B2406">
        <v>270</v>
      </c>
      <c r="C2406" t="s">
        <v>3531</v>
      </c>
      <c r="D2406" t="s">
        <v>325</v>
      </c>
      <c r="E2406" t="s">
        <v>91</v>
      </c>
      <c r="F2406" t="s">
        <v>3532</v>
      </c>
      <c r="G2406" t="str">
        <f>"201406012991"</f>
        <v>201406012991</v>
      </c>
      <c r="H2406" t="s">
        <v>73</v>
      </c>
      <c r="I2406">
        <v>0</v>
      </c>
      <c r="J2406">
        <v>30</v>
      </c>
      <c r="K2406">
        <v>50</v>
      </c>
      <c r="L2406">
        <v>30</v>
      </c>
      <c r="M2406">
        <v>30</v>
      </c>
      <c r="N2406">
        <v>0</v>
      </c>
      <c r="O2406">
        <v>0</v>
      </c>
      <c r="P2406">
        <v>0</v>
      </c>
      <c r="Q2406">
        <v>0</v>
      </c>
      <c r="R2406">
        <v>12</v>
      </c>
      <c r="S2406">
        <v>84</v>
      </c>
      <c r="T2406">
        <v>0</v>
      </c>
      <c r="V2406">
        <v>0</v>
      </c>
      <c r="W2406" t="s">
        <v>3533</v>
      </c>
    </row>
    <row r="2407" spans="1:23" x14ac:dyDescent="0.25">
      <c r="H2407" t="s">
        <v>70</v>
      </c>
    </row>
    <row r="2408" spans="1:23" x14ac:dyDescent="0.25">
      <c r="A2408">
        <v>1201</v>
      </c>
      <c r="B2408">
        <v>61</v>
      </c>
      <c r="C2408" t="s">
        <v>1933</v>
      </c>
      <c r="D2408" t="s">
        <v>112</v>
      </c>
      <c r="E2408" t="s">
        <v>91</v>
      </c>
      <c r="F2408" t="s">
        <v>3534</v>
      </c>
      <c r="G2408" t="str">
        <f>"00197219"</f>
        <v>00197219</v>
      </c>
      <c r="H2408">
        <v>770</v>
      </c>
      <c r="I2408">
        <v>0</v>
      </c>
      <c r="J2408">
        <v>0</v>
      </c>
      <c r="K2408">
        <v>0</v>
      </c>
      <c r="L2408">
        <v>0</v>
      </c>
      <c r="M2408">
        <v>0</v>
      </c>
      <c r="N2408">
        <v>0</v>
      </c>
      <c r="O2408">
        <v>0</v>
      </c>
      <c r="P2408">
        <v>0</v>
      </c>
      <c r="Q2408">
        <v>0</v>
      </c>
      <c r="R2408">
        <v>72</v>
      </c>
      <c r="S2408">
        <v>504</v>
      </c>
      <c r="T2408">
        <v>0</v>
      </c>
      <c r="V2408">
        <v>0</v>
      </c>
      <c r="W2408">
        <v>1274</v>
      </c>
    </row>
    <row r="2409" spans="1:23" x14ac:dyDescent="0.25">
      <c r="H2409">
        <v>703</v>
      </c>
    </row>
    <row r="2410" spans="1:23" x14ac:dyDescent="0.25">
      <c r="A2410">
        <v>1202</v>
      </c>
      <c r="B2410">
        <v>2602</v>
      </c>
      <c r="C2410" t="s">
        <v>3535</v>
      </c>
      <c r="D2410" t="s">
        <v>109</v>
      </c>
      <c r="E2410" t="s">
        <v>15</v>
      </c>
      <c r="F2410" t="s">
        <v>3536</v>
      </c>
      <c r="G2410" t="str">
        <f>"00018164"</f>
        <v>00018164</v>
      </c>
      <c r="H2410">
        <v>770</v>
      </c>
      <c r="I2410">
        <v>0</v>
      </c>
      <c r="J2410">
        <v>0</v>
      </c>
      <c r="K2410">
        <v>0</v>
      </c>
      <c r="L2410">
        <v>0</v>
      </c>
      <c r="M2410">
        <v>0</v>
      </c>
      <c r="N2410">
        <v>0</v>
      </c>
      <c r="O2410">
        <v>0</v>
      </c>
      <c r="P2410">
        <v>0</v>
      </c>
      <c r="Q2410">
        <v>0</v>
      </c>
      <c r="R2410">
        <v>72</v>
      </c>
      <c r="S2410">
        <v>504</v>
      </c>
      <c r="T2410">
        <v>0</v>
      </c>
      <c r="V2410">
        <v>1</v>
      </c>
      <c r="W2410">
        <v>1274</v>
      </c>
    </row>
    <row r="2411" spans="1:23" x14ac:dyDescent="0.25">
      <c r="H2411">
        <v>703</v>
      </c>
    </row>
    <row r="2412" spans="1:23" x14ac:dyDescent="0.25">
      <c r="A2412">
        <v>1203</v>
      </c>
      <c r="B2412">
        <v>1592</v>
      </c>
      <c r="C2412" t="s">
        <v>3537</v>
      </c>
      <c r="D2412" t="s">
        <v>427</v>
      </c>
      <c r="E2412" t="s">
        <v>58</v>
      </c>
      <c r="F2412" t="s">
        <v>3538</v>
      </c>
      <c r="G2412" t="str">
        <f>"201510001686"</f>
        <v>201510001686</v>
      </c>
      <c r="H2412" t="s">
        <v>574</v>
      </c>
      <c r="I2412">
        <v>0</v>
      </c>
      <c r="J2412">
        <v>0</v>
      </c>
      <c r="K2412">
        <v>0</v>
      </c>
      <c r="L2412">
        <v>0</v>
      </c>
      <c r="M2412">
        <v>0</v>
      </c>
      <c r="N2412">
        <v>0</v>
      </c>
      <c r="O2412">
        <v>0</v>
      </c>
      <c r="P2412">
        <v>0</v>
      </c>
      <c r="Q2412">
        <v>0</v>
      </c>
      <c r="R2412">
        <v>52</v>
      </c>
      <c r="S2412">
        <v>364</v>
      </c>
      <c r="T2412">
        <v>0</v>
      </c>
      <c r="V2412">
        <v>0</v>
      </c>
      <c r="W2412" t="s">
        <v>3539</v>
      </c>
    </row>
    <row r="2413" spans="1:23" x14ac:dyDescent="0.25">
      <c r="H2413">
        <v>703</v>
      </c>
    </row>
    <row r="2414" spans="1:23" x14ac:dyDescent="0.25">
      <c r="A2414">
        <v>1204</v>
      </c>
      <c r="B2414">
        <v>1769</v>
      </c>
      <c r="C2414" t="s">
        <v>3540</v>
      </c>
      <c r="D2414" t="s">
        <v>258</v>
      </c>
      <c r="E2414" t="s">
        <v>109</v>
      </c>
      <c r="F2414" t="s">
        <v>3541</v>
      </c>
      <c r="G2414" t="str">
        <f>"201512001476"</f>
        <v>201512001476</v>
      </c>
      <c r="H2414" t="s">
        <v>142</v>
      </c>
      <c r="I2414">
        <v>0</v>
      </c>
      <c r="J2414">
        <v>70</v>
      </c>
      <c r="K2414">
        <v>70</v>
      </c>
      <c r="L2414">
        <v>0</v>
      </c>
      <c r="M2414">
        <v>0</v>
      </c>
      <c r="N2414">
        <v>30</v>
      </c>
      <c r="O2414">
        <v>0</v>
      </c>
      <c r="P2414">
        <v>0</v>
      </c>
      <c r="Q2414">
        <v>0</v>
      </c>
      <c r="R2414">
        <v>6</v>
      </c>
      <c r="S2414">
        <v>42</v>
      </c>
      <c r="T2414">
        <v>0</v>
      </c>
      <c r="V2414">
        <v>0</v>
      </c>
      <c r="W2414" t="s">
        <v>3542</v>
      </c>
    </row>
    <row r="2415" spans="1:23" x14ac:dyDescent="0.25">
      <c r="H2415" t="s">
        <v>70</v>
      </c>
    </row>
    <row r="2416" spans="1:23" x14ac:dyDescent="0.25">
      <c r="A2416">
        <v>1205</v>
      </c>
      <c r="B2416">
        <v>2875</v>
      </c>
      <c r="C2416" t="s">
        <v>1003</v>
      </c>
      <c r="D2416" t="s">
        <v>1397</v>
      </c>
      <c r="E2416" t="s">
        <v>251</v>
      </c>
      <c r="F2416" t="s">
        <v>3543</v>
      </c>
      <c r="G2416" t="str">
        <f>"00017631"</f>
        <v>00017631</v>
      </c>
      <c r="H2416">
        <v>979</v>
      </c>
      <c r="I2416">
        <v>0</v>
      </c>
      <c r="J2416">
        <v>70</v>
      </c>
      <c r="K2416">
        <v>0</v>
      </c>
      <c r="L2416">
        <v>0</v>
      </c>
      <c r="M2416">
        <v>0</v>
      </c>
      <c r="N2416">
        <v>0</v>
      </c>
      <c r="O2416">
        <v>0</v>
      </c>
      <c r="P2416">
        <v>0</v>
      </c>
      <c r="Q2416">
        <v>0</v>
      </c>
      <c r="R2416">
        <v>32</v>
      </c>
      <c r="S2416">
        <v>224</v>
      </c>
      <c r="T2416">
        <v>0</v>
      </c>
      <c r="V2416">
        <v>1</v>
      </c>
      <c r="W2416">
        <v>1273</v>
      </c>
    </row>
    <row r="2417" spans="1:23" x14ac:dyDescent="0.25">
      <c r="H2417">
        <v>703</v>
      </c>
    </row>
    <row r="2418" spans="1:23" x14ac:dyDescent="0.25">
      <c r="A2418">
        <v>1206</v>
      </c>
      <c r="B2418">
        <v>3063</v>
      </c>
      <c r="C2418" t="s">
        <v>3544</v>
      </c>
      <c r="D2418" t="s">
        <v>87</v>
      </c>
      <c r="E2418" t="s">
        <v>53</v>
      </c>
      <c r="F2418" t="s">
        <v>3545</v>
      </c>
      <c r="G2418" t="str">
        <f>"201402009315"</f>
        <v>201402009315</v>
      </c>
      <c r="H2418" t="s">
        <v>2235</v>
      </c>
      <c r="I2418">
        <v>0</v>
      </c>
      <c r="J2418">
        <v>30</v>
      </c>
      <c r="K2418">
        <v>0</v>
      </c>
      <c r="L2418">
        <v>0</v>
      </c>
      <c r="M2418">
        <v>30</v>
      </c>
      <c r="N2418">
        <v>0</v>
      </c>
      <c r="O2418">
        <v>0</v>
      </c>
      <c r="P2418">
        <v>0</v>
      </c>
      <c r="Q2418">
        <v>0</v>
      </c>
      <c r="R2418">
        <v>53</v>
      </c>
      <c r="S2418">
        <v>371</v>
      </c>
      <c r="T2418">
        <v>0</v>
      </c>
      <c r="V2418">
        <v>0</v>
      </c>
      <c r="W2418" t="s">
        <v>3546</v>
      </c>
    </row>
    <row r="2419" spans="1:23" x14ac:dyDescent="0.25">
      <c r="H2419" t="s">
        <v>70</v>
      </c>
    </row>
    <row r="2420" spans="1:23" x14ac:dyDescent="0.25">
      <c r="A2420">
        <v>1207</v>
      </c>
      <c r="B2420">
        <v>362</v>
      </c>
      <c r="C2420" t="s">
        <v>686</v>
      </c>
      <c r="D2420" t="s">
        <v>404</v>
      </c>
      <c r="E2420" t="s">
        <v>607</v>
      </c>
      <c r="F2420" t="s">
        <v>3547</v>
      </c>
      <c r="G2420" t="str">
        <f>"201306000078"</f>
        <v>201306000078</v>
      </c>
      <c r="H2420">
        <v>1045</v>
      </c>
      <c r="I2420">
        <v>150</v>
      </c>
      <c r="J2420">
        <v>0</v>
      </c>
      <c r="K2420">
        <v>0</v>
      </c>
      <c r="L2420">
        <v>0</v>
      </c>
      <c r="M2420">
        <v>0</v>
      </c>
      <c r="N2420">
        <v>0</v>
      </c>
      <c r="O2420">
        <v>0</v>
      </c>
      <c r="P2420">
        <v>0</v>
      </c>
      <c r="Q2420">
        <v>0</v>
      </c>
      <c r="R2420">
        <v>11</v>
      </c>
      <c r="S2420">
        <v>77</v>
      </c>
      <c r="T2420">
        <v>0</v>
      </c>
      <c r="V2420">
        <v>0</v>
      </c>
      <c r="W2420">
        <v>1272</v>
      </c>
    </row>
    <row r="2421" spans="1:23" x14ac:dyDescent="0.25">
      <c r="H2421">
        <v>703</v>
      </c>
    </row>
    <row r="2422" spans="1:23" x14ac:dyDescent="0.25">
      <c r="A2422">
        <v>1208</v>
      </c>
      <c r="B2422">
        <v>1327</v>
      </c>
      <c r="C2422" t="s">
        <v>791</v>
      </c>
      <c r="D2422" t="s">
        <v>140</v>
      </c>
      <c r="E2422" t="s">
        <v>1350</v>
      </c>
      <c r="F2422" t="s">
        <v>3548</v>
      </c>
      <c r="G2422" t="str">
        <f>"00110184"</f>
        <v>00110184</v>
      </c>
      <c r="H2422">
        <v>1023</v>
      </c>
      <c r="I2422">
        <v>0</v>
      </c>
      <c r="J2422">
        <v>70</v>
      </c>
      <c r="K2422">
        <v>70</v>
      </c>
      <c r="L2422">
        <v>0</v>
      </c>
      <c r="M2422">
        <v>30</v>
      </c>
      <c r="N2422">
        <v>30</v>
      </c>
      <c r="O2422">
        <v>0</v>
      </c>
      <c r="P2422">
        <v>0</v>
      </c>
      <c r="Q2422">
        <v>0</v>
      </c>
      <c r="R2422">
        <v>7</v>
      </c>
      <c r="S2422">
        <v>49</v>
      </c>
      <c r="T2422">
        <v>0</v>
      </c>
      <c r="V2422">
        <v>0</v>
      </c>
      <c r="W2422">
        <v>1272</v>
      </c>
    </row>
    <row r="2423" spans="1:23" x14ac:dyDescent="0.25">
      <c r="H2423" t="s">
        <v>70</v>
      </c>
    </row>
    <row r="2424" spans="1:23" x14ac:dyDescent="0.25">
      <c r="A2424">
        <v>1209</v>
      </c>
      <c r="B2424">
        <v>3192</v>
      </c>
      <c r="C2424" t="s">
        <v>3549</v>
      </c>
      <c r="D2424" t="s">
        <v>109</v>
      </c>
      <c r="E2424" t="s">
        <v>1633</v>
      </c>
      <c r="F2424" t="s">
        <v>3550</v>
      </c>
      <c r="G2424" t="str">
        <f>"00156435"</f>
        <v>00156435</v>
      </c>
      <c r="H2424">
        <v>1001</v>
      </c>
      <c r="I2424">
        <v>150</v>
      </c>
      <c r="J2424">
        <v>70</v>
      </c>
      <c r="K2424">
        <v>0</v>
      </c>
      <c r="L2424">
        <v>50</v>
      </c>
      <c r="M2424">
        <v>0</v>
      </c>
      <c r="N2424">
        <v>0</v>
      </c>
      <c r="O2424">
        <v>0</v>
      </c>
      <c r="P2424">
        <v>0</v>
      </c>
      <c r="Q2424">
        <v>0</v>
      </c>
      <c r="R2424">
        <v>0</v>
      </c>
      <c r="S2424">
        <v>0</v>
      </c>
      <c r="T2424">
        <v>0</v>
      </c>
      <c r="V2424">
        <v>0</v>
      </c>
      <c r="W2424">
        <v>1271</v>
      </c>
    </row>
    <row r="2425" spans="1:23" x14ac:dyDescent="0.25">
      <c r="H2425" t="s">
        <v>70</v>
      </c>
    </row>
    <row r="2426" spans="1:23" x14ac:dyDescent="0.25">
      <c r="A2426">
        <v>1210</v>
      </c>
      <c r="B2426">
        <v>1366</v>
      </c>
      <c r="C2426" t="s">
        <v>3551</v>
      </c>
      <c r="D2426" t="s">
        <v>185</v>
      </c>
      <c r="E2426" t="s">
        <v>3552</v>
      </c>
      <c r="F2426" t="s">
        <v>3553</v>
      </c>
      <c r="G2426" t="str">
        <f>"201506003554"</f>
        <v>201506003554</v>
      </c>
      <c r="H2426" t="s">
        <v>622</v>
      </c>
      <c r="I2426">
        <v>0</v>
      </c>
      <c r="J2426">
        <v>30</v>
      </c>
      <c r="K2426">
        <v>0</v>
      </c>
      <c r="L2426">
        <v>0</v>
      </c>
      <c r="M2426">
        <v>0</v>
      </c>
      <c r="N2426">
        <v>0</v>
      </c>
      <c r="O2426">
        <v>0</v>
      </c>
      <c r="P2426">
        <v>0</v>
      </c>
      <c r="Q2426">
        <v>0</v>
      </c>
      <c r="R2426">
        <v>38</v>
      </c>
      <c r="S2426">
        <v>266</v>
      </c>
      <c r="T2426">
        <v>0</v>
      </c>
      <c r="V2426">
        <v>0</v>
      </c>
      <c r="W2426" t="s">
        <v>3554</v>
      </c>
    </row>
    <row r="2427" spans="1:23" x14ac:dyDescent="0.25">
      <c r="H2427">
        <v>703</v>
      </c>
    </row>
    <row r="2428" spans="1:23" x14ac:dyDescent="0.25">
      <c r="A2428">
        <v>1211</v>
      </c>
      <c r="B2428">
        <v>2342</v>
      </c>
      <c r="C2428" t="s">
        <v>3555</v>
      </c>
      <c r="D2428" t="s">
        <v>3556</v>
      </c>
      <c r="E2428" t="s">
        <v>478</v>
      </c>
      <c r="F2428" t="s">
        <v>3557</v>
      </c>
      <c r="G2428" t="str">
        <f>"00073900"</f>
        <v>00073900</v>
      </c>
      <c r="H2428" t="s">
        <v>281</v>
      </c>
      <c r="I2428">
        <v>0</v>
      </c>
      <c r="J2428">
        <v>0</v>
      </c>
      <c r="K2428">
        <v>0</v>
      </c>
      <c r="L2428">
        <v>0</v>
      </c>
      <c r="M2428">
        <v>0</v>
      </c>
      <c r="N2428">
        <v>0</v>
      </c>
      <c r="O2428">
        <v>0</v>
      </c>
      <c r="P2428">
        <v>0</v>
      </c>
      <c r="Q2428">
        <v>0</v>
      </c>
      <c r="R2428">
        <v>33</v>
      </c>
      <c r="S2428">
        <v>231</v>
      </c>
      <c r="T2428">
        <v>0</v>
      </c>
      <c r="V2428">
        <v>0</v>
      </c>
      <c r="W2428" t="s">
        <v>3558</v>
      </c>
    </row>
    <row r="2429" spans="1:23" x14ac:dyDescent="0.25">
      <c r="H2429">
        <v>703</v>
      </c>
    </row>
    <row r="2430" spans="1:23" x14ac:dyDescent="0.25">
      <c r="A2430">
        <v>1212</v>
      </c>
      <c r="B2430">
        <v>2511</v>
      </c>
      <c r="C2430" t="s">
        <v>3559</v>
      </c>
      <c r="D2430" t="s">
        <v>99</v>
      </c>
      <c r="E2430" t="s">
        <v>105</v>
      </c>
      <c r="F2430" t="s">
        <v>3560</v>
      </c>
      <c r="G2430" t="str">
        <f>"00010064"</f>
        <v>00010064</v>
      </c>
      <c r="H2430" t="s">
        <v>1827</v>
      </c>
      <c r="I2430">
        <v>0</v>
      </c>
      <c r="J2430">
        <v>0</v>
      </c>
      <c r="K2430">
        <v>0</v>
      </c>
      <c r="L2430">
        <v>0</v>
      </c>
      <c r="M2430">
        <v>0</v>
      </c>
      <c r="N2430">
        <v>0</v>
      </c>
      <c r="O2430">
        <v>0</v>
      </c>
      <c r="P2430">
        <v>0</v>
      </c>
      <c r="Q2430">
        <v>0</v>
      </c>
      <c r="R2430">
        <v>66</v>
      </c>
      <c r="S2430">
        <v>462</v>
      </c>
      <c r="T2430">
        <v>0</v>
      </c>
      <c r="V2430">
        <v>0</v>
      </c>
      <c r="W2430" t="s">
        <v>3558</v>
      </c>
    </row>
    <row r="2431" spans="1:23" x14ac:dyDescent="0.25">
      <c r="H2431">
        <v>703</v>
      </c>
    </row>
    <row r="2432" spans="1:23" x14ac:dyDescent="0.25">
      <c r="A2432">
        <v>1213</v>
      </c>
      <c r="B2432">
        <v>2450</v>
      </c>
      <c r="C2432" t="s">
        <v>1949</v>
      </c>
      <c r="D2432" t="s">
        <v>20</v>
      </c>
      <c r="E2432" t="s">
        <v>91</v>
      </c>
      <c r="F2432" t="s">
        <v>3561</v>
      </c>
      <c r="G2432" t="str">
        <f>"201506003701"</f>
        <v>201506003701</v>
      </c>
      <c r="H2432" t="s">
        <v>73</v>
      </c>
      <c r="I2432">
        <v>0</v>
      </c>
      <c r="J2432">
        <v>70</v>
      </c>
      <c r="K2432">
        <v>30</v>
      </c>
      <c r="L2432">
        <v>0</v>
      </c>
      <c r="M2432">
        <v>0</v>
      </c>
      <c r="N2432">
        <v>0</v>
      </c>
      <c r="O2432">
        <v>0</v>
      </c>
      <c r="P2432">
        <v>0</v>
      </c>
      <c r="Q2432">
        <v>0</v>
      </c>
      <c r="R2432">
        <v>17</v>
      </c>
      <c r="S2432">
        <v>119</v>
      </c>
      <c r="T2432">
        <v>0</v>
      </c>
      <c r="V2432">
        <v>0</v>
      </c>
      <c r="W2432" t="s">
        <v>3562</v>
      </c>
    </row>
    <row r="2433" spans="1:23" x14ac:dyDescent="0.25">
      <c r="H2433" t="s">
        <v>70</v>
      </c>
    </row>
    <row r="2434" spans="1:23" x14ac:dyDescent="0.25">
      <c r="A2434">
        <v>1214</v>
      </c>
      <c r="B2434">
        <v>1297</v>
      </c>
      <c r="C2434" t="s">
        <v>3563</v>
      </c>
      <c r="D2434" t="s">
        <v>912</v>
      </c>
      <c r="E2434" t="s">
        <v>76</v>
      </c>
      <c r="F2434" t="s">
        <v>3564</v>
      </c>
      <c r="G2434" t="str">
        <f>"200902000526"</f>
        <v>200902000526</v>
      </c>
      <c r="H2434">
        <v>1089</v>
      </c>
      <c r="I2434">
        <v>150</v>
      </c>
      <c r="J2434">
        <v>30</v>
      </c>
      <c r="K2434">
        <v>0</v>
      </c>
      <c r="L2434">
        <v>0</v>
      </c>
      <c r="M2434">
        <v>0</v>
      </c>
      <c r="N2434">
        <v>0</v>
      </c>
      <c r="O2434">
        <v>0</v>
      </c>
      <c r="P2434">
        <v>0</v>
      </c>
      <c r="Q2434">
        <v>0</v>
      </c>
      <c r="R2434">
        <v>0</v>
      </c>
      <c r="S2434">
        <v>0</v>
      </c>
      <c r="T2434">
        <v>0</v>
      </c>
      <c r="V2434">
        <v>0</v>
      </c>
      <c r="W2434">
        <v>1269</v>
      </c>
    </row>
    <row r="2435" spans="1:23" x14ac:dyDescent="0.25">
      <c r="H2435">
        <v>703</v>
      </c>
    </row>
    <row r="2436" spans="1:23" x14ac:dyDescent="0.25">
      <c r="A2436">
        <v>1215</v>
      </c>
      <c r="B2436">
        <v>1025</v>
      </c>
      <c r="C2436" t="s">
        <v>3565</v>
      </c>
      <c r="D2436" t="s">
        <v>21</v>
      </c>
      <c r="E2436" t="s">
        <v>424</v>
      </c>
      <c r="F2436" t="s">
        <v>3566</v>
      </c>
      <c r="G2436" t="str">
        <f>"201406001429"</f>
        <v>201406001429</v>
      </c>
      <c r="H2436">
        <v>1089</v>
      </c>
      <c r="I2436">
        <v>150</v>
      </c>
      <c r="J2436">
        <v>30</v>
      </c>
      <c r="K2436">
        <v>0</v>
      </c>
      <c r="L2436">
        <v>0</v>
      </c>
      <c r="M2436">
        <v>0</v>
      </c>
      <c r="N2436">
        <v>0</v>
      </c>
      <c r="O2436">
        <v>0</v>
      </c>
      <c r="P2436">
        <v>0</v>
      </c>
      <c r="Q2436">
        <v>0</v>
      </c>
      <c r="R2436">
        <v>0</v>
      </c>
      <c r="S2436">
        <v>0</v>
      </c>
      <c r="T2436">
        <v>0</v>
      </c>
      <c r="V2436">
        <v>0</v>
      </c>
      <c r="W2436">
        <v>1269</v>
      </c>
    </row>
    <row r="2437" spans="1:23" x14ac:dyDescent="0.25">
      <c r="H2437">
        <v>703</v>
      </c>
    </row>
    <row r="2438" spans="1:23" x14ac:dyDescent="0.25">
      <c r="A2438">
        <v>1216</v>
      </c>
      <c r="B2438">
        <v>1850</v>
      </c>
      <c r="C2438" t="s">
        <v>3567</v>
      </c>
      <c r="D2438" t="s">
        <v>53</v>
      </c>
      <c r="E2438" t="s">
        <v>33</v>
      </c>
      <c r="F2438" t="s">
        <v>3568</v>
      </c>
      <c r="G2438" t="str">
        <f>"201506003416"</f>
        <v>201506003416</v>
      </c>
      <c r="H2438">
        <v>1089</v>
      </c>
      <c r="I2438">
        <v>150</v>
      </c>
      <c r="J2438">
        <v>30</v>
      </c>
      <c r="K2438">
        <v>0</v>
      </c>
      <c r="L2438">
        <v>0</v>
      </c>
      <c r="M2438">
        <v>0</v>
      </c>
      <c r="N2438">
        <v>0</v>
      </c>
      <c r="O2438">
        <v>0</v>
      </c>
      <c r="P2438">
        <v>0</v>
      </c>
      <c r="Q2438">
        <v>0</v>
      </c>
      <c r="R2438">
        <v>0</v>
      </c>
      <c r="S2438">
        <v>0</v>
      </c>
      <c r="T2438">
        <v>0</v>
      </c>
      <c r="V2438">
        <v>0</v>
      </c>
      <c r="W2438">
        <v>1269</v>
      </c>
    </row>
    <row r="2439" spans="1:23" x14ac:dyDescent="0.25">
      <c r="H2439">
        <v>703</v>
      </c>
    </row>
    <row r="2440" spans="1:23" x14ac:dyDescent="0.25">
      <c r="A2440">
        <v>1217</v>
      </c>
      <c r="B2440">
        <v>3176</v>
      </c>
      <c r="C2440" t="s">
        <v>3569</v>
      </c>
      <c r="D2440" t="s">
        <v>3570</v>
      </c>
      <c r="E2440" t="s">
        <v>109</v>
      </c>
      <c r="F2440" t="s">
        <v>3571</v>
      </c>
      <c r="G2440" t="str">
        <f>"00161813"</f>
        <v>00161813</v>
      </c>
      <c r="H2440">
        <v>891</v>
      </c>
      <c r="I2440">
        <v>0</v>
      </c>
      <c r="J2440">
        <v>70</v>
      </c>
      <c r="K2440">
        <v>0</v>
      </c>
      <c r="L2440">
        <v>0</v>
      </c>
      <c r="M2440">
        <v>0</v>
      </c>
      <c r="N2440">
        <v>0</v>
      </c>
      <c r="O2440">
        <v>0</v>
      </c>
      <c r="P2440">
        <v>0</v>
      </c>
      <c r="Q2440">
        <v>0</v>
      </c>
      <c r="R2440">
        <v>44</v>
      </c>
      <c r="S2440">
        <v>308</v>
      </c>
      <c r="T2440">
        <v>0</v>
      </c>
      <c r="V2440">
        <v>0</v>
      </c>
      <c r="W2440">
        <v>1269</v>
      </c>
    </row>
    <row r="2441" spans="1:23" x14ac:dyDescent="0.25">
      <c r="H2441">
        <v>703</v>
      </c>
    </row>
    <row r="2442" spans="1:23" x14ac:dyDescent="0.25">
      <c r="A2442">
        <v>1218</v>
      </c>
      <c r="B2442">
        <v>1299</v>
      </c>
      <c r="C2442" t="s">
        <v>1478</v>
      </c>
      <c r="D2442" t="s">
        <v>112</v>
      </c>
      <c r="E2442" t="s">
        <v>109</v>
      </c>
      <c r="F2442" t="s">
        <v>3572</v>
      </c>
      <c r="G2442" t="str">
        <f>"201510004451"</f>
        <v>201510004451</v>
      </c>
      <c r="H2442" t="s">
        <v>1712</v>
      </c>
      <c r="I2442">
        <v>150</v>
      </c>
      <c r="J2442">
        <v>30</v>
      </c>
      <c r="K2442">
        <v>0</v>
      </c>
      <c r="L2442">
        <v>0</v>
      </c>
      <c r="M2442">
        <v>0</v>
      </c>
      <c r="N2442">
        <v>0</v>
      </c>
      <c r="O2442">
        <v>0</v>
      </c>
      <c r="P2442">
        <v>0</v>
      </c>
      <c r="Q2442">
        <v>0</v>
      </c>
      <c r="R2442">
        <v>0</v>
      </c>
      <c r="S2442">
        <v>0</v>
      </c>
      <c r="T2442">
        <v>0</v>
      </c>
      <c r="V2442">
        <v>0</v>
      </c>
      <c r="W2442" t="s">
        <v>3573</v>
      </c>
    </row>
    <row r="2443" spans="1:23" x14ac:dyDescent="0.25">
      <c r="H2443" t="s">
        <v>2316</v>
      </c>
    </row>
    <row r="2444" spans="1:23" x14ac:dyDescent="0.25">
      <c r="A2444">
        <v>1219</v>
      </c>
      <c r="B2444">
        <v>462</v>
      </c>
      <c r="C2444" t="s">
        <v>3574</v>
      </c>
      <c r="D2444" t="s">
        <v>185</v>
      </c>
      <c r="E2444" t="s">
        <v>113</v>
      </c>
      <c r="F2444" t="s">
        <v>3575</v>
      </c>
      <c r="G2444" t="str">
        <f>"201507005326"</f>
        <v>201507005326</v>
      </c>
      <c r="H2444" t="s">
        <v>1241</v>
      </c>
      <c r="I2444">
        <v>150</v>
      </c>
      <c r="J2444">
        <v>0</v>
      </c>
      <c r="K2444">
        <v>0</v>
      </c>
      <c r="L2444">
        <v>0</v>
      </c>
      <c r="M2444">
        <v>0</v>
      </c>
      <c r="N2444">
        <v>0</v>
      </c>
      <c r="O2444">
        <v>0</v>
      </c>
      <c r="P2444">
        <v>0</v>
      </c>
      <c r="Q2444">
        <v>0</v>
      </c>
      <c r="R2444">
        <v>33</v>
      </c>
      <c r="S2444">
        <v>231</v>
      </c>
      <c r="T2444">
        <v>0</v>
      </c>
      <c r="V2444">
        <v>0</v>
      </c>
      <c r="W2444" t="s">
        <v>3576</v>
      </c>
    </row>
    <row r="2445" spans="1:23" x14ac:dyDescent="0.25">
      <c r="H2445">
        <v>703</v>
      </c>
    </row>
    <row r="2446" spans="1:23" x14ac:dyDescent="0.25">
      <c r="A2446">
        <v>1220</v>
      </c>
      <c r="B2446">
        <v>546</v>
      </c>
      <c r="C2446" t="s">
        <v>3577</v>
      </c>
      <c r="D2446" t="s">
        <v>62</v>
      </c>
      <c r="E2446" t="s">
        <v>607</v>
      </c>
      <c r="F2446" t="s">
        <v>3578</v>
      </c>
      <c r="G2446" t="str">
        <f>"00138315"</f>
        <v>00138315</v>
      </c>
      <c r="H2446">
        <v>1045</v>
      </c>
      <c r="I2446">
        <v>150</v>
      </c>
      <c r="J2446">
        <v>70</v>
      </c>
      <c r="K2446">
        <v>0</v>
      </c>
      <c r="L2446">
        <v>0</v>
      </c>
      <c r="M2446">
        <v>0</v>
      </c>
      <c r="N2446">
        <v>0</v>
      </c>
      <c r="O2446">
        <v>0</v>
      </c>
      <c r="P2446">
        <v>0</v>
      </c>
      <c r="Q2446">
        <v>0</v>
      </c>
      <c r="R2446">
        <v>0</v>
      </c>
      <c r="S2446">
        <v>0</v>
      </c>
      <c r="T2446">
        <v>0</v>
      </c>
      <c r="V2446">
        <v>0</v>
      </c>
      <c r="W2446">
        <v>1265</v>
      </c>
    </row>
    <row r="2447" spans="1:23" x14ac:dyDescent="0.25">
      <c r="H2447">
        <v>703</v>
      </c>
    </row>
    <row r="2448" spans="1:23" x14ac:dyDescent="0.25">
      <c r="A2448">
        <v>1221</v>
      </c>
      <c r="B2448">
        <v>346</v>
      </c>
      <c r="C2448" t="s">
        <v>3579</v>
      </c>
      <c r="D2448" t="s">
        <v>258</v>
      </c>
      <c r="E2448" t="s">
        <v>15</v>
      </c>
      <c r="F2448" t="s">
        <v>3580</v>
      </c>
      <c r="G2448" t="str">
        <f>"00146499"</f>
        <v>00146499</v>
      </c>
      <c r="H2448">
        <v>770</v>
      </c>
      <c r="I2448">
        <v>150</v>
      </c>
      <c r="J2448">
        <v>30</v>
      </c>
      <c r="K2448">
        <v>0</v>
      </c>
      <c r="L2448">
        <v>0</v>
      </c>
      <c r="M2448">
        <v>0</v>
      </c>
      <c r="N2448">
        <v>0</v>
      </c>
      <c r="O2448">
        <v>0</v>
      </c>
      <c r="P2448">
        <v>0</v>
      </c>
      <c r="Q2448">
        <v>0</v>
      </c>
      <c r="R2448">
        <v>45</v>
      </c>
      <c r="S2448">
        <v>315</v>
      </c>
      <c r="T2448">
        <v>0</v>
      </c>
      <c r="V2448">
        <v>0</v>
      </c>
      <c r="W2448">
        <v>1265</v>
      </c>
    </row>
    <row r="2449" spans="1:23" x14ac:dyDescent="0.25">
      <c r="H2449">
        <v>703</v>
      </c>
    </row>
    <row r="2450" spans="1:23" x14ac:dyDescent="0.25">
      <c r="A2450">
        <v>1222</v>
      </c>
      <c r="B2450">
        <v>2851</v>
      </c>
      <c r="C2450" t="s">
        <v>3581</v>
      </c>
      <c r="D2450" t="s">
        <v>140</v>
      </c>
      <c r="E2450" t="s">
        <v>91</v>
      </c>
      <c r="F2450" t="s">
        <v>3582</v>
      </c>
      <c r="G2450" t="str">
        <f>"201511033498"</f>
        <v>201511033498</v>
      </c>
      <c r="H2450" t="s">
        <v>93</v>
      </c>
      <c r="I2450">
        <v>150</v>
      </c>
      <c r="J2450">
        <v>30</v>
      </c>
      <c r="K2450">
        <v>0</v>
      </c>
      <c r="L2450">
        <v>0</v>
      </c>
      <c r="M2450">
        <v>0</v>
      </c>
      <c r="N2450">
        <v>0</v>
      </c>
      <c r="O2450">
        <v>0</v>
      </c>
      <c r="P2450">
        <v>0</v>
      </c>
      <c r="Q2450">
        <v>0</v>
      </c>
      <c r="R2450">
        <v>0</v>
      </c>
      <c r="S2450">
        <v>0</v>
      </c>
      <c r="T2450">
        <v>0</v>
      </c>
      <c r="V2450">
        <v>0</v>
      </c>
      <c r="W2450" t="s">
        <v>3583</v>
      </c>
    </row>
    <row r="2451" spans="1:23" x14ac:dyDescent="0.25">
      <c r="H2451">
        <v>703</v>
      </c>
    </row>
    <row r="2452" spans="1:23" x14ac:dyDescent="0.25">
      <c r="A2452">
        <v>1223</v>
      </c>
      <c r="B2452">
        <v>2377</v>
      </c>
      <c r="C2452" t="s">
        <v>1313</v>
      </c>
      <c r="D2452" t="s">
        <v>722</v>
      </c>
      <c r="E2452" t="s">
        <v>752</v>
      </c>
      <c r="F2452" t="s">
        <v>3584</v>
      </c>
      <c r="G2452" t="str">
        <f>"00222145"</f>
        <v>00222145</v>
      </c>
      <c r="H2452" t="s">
        <v>1556</v>
      </c>
      <c r="I2452">
        <v>150</v>
      </c>
      <c r="J2452">
        <v>30</v>
      </c>
      <c r="K2452">
        <v>0</v>
      </c>
      <c r="L2452">
        <v>0</v>
      </c>
      <c r="M2452">
        <v>0</v>
      </c>
      <c r="N2452">
        <v>0</v>
      </c>
      <c r="O2452">
        <v>0</v>
      </c>
      <c r="P2452">
        <v>0</v>
      </c>
      <c r="Q2452">
        <v>0</v>
      </c>
      <c r="R2452">
        <v>34</v>
      </c>
      <c r="S2452">
        <v>238</v>
      </c>
      <c r="T2452">
        <v>0</v>
      </c>
      <c r="V2452">
        <v>0</v>
      </c>
      <c r="W2452" t="s">
        <v>3585</v>
      </c>
    </row>
    <row r="2453" spans="1:23" x14ac:dyDescent="0.25">
      <c r="H2453">
        <v>703</v>
      </c>
    </row>
    <row r="2454" spans="1:23" x14ac:dyDescent="0.25">
      <c r="A2454">
        <v>1224</v>
      </c>
      <c r="B2454">
        <v>2858</v>
      </c>
      <c r="C2454" t="s">
        <v>3586</v>
      </c>
      <c r="D2454" t="s">
        <v>3587</v>
      </c>
      <c r="E2454" t="s">
        <v>15</v>
      </c>
      <c r="F2454" t="s">
        <v>3588</v>
      </c>
      <c r="G2454" t="str">
        <f>"201406006000"</f>
        <v>201406006000</v>
      </c>
      <c r="H2454" t="s">
        <v>177</v>
      </c>
      <c r="I2454">
        <v>150</v>
      </c>
      <c r="J2454">
        <v>30</v>
      </c>
      <c r="K2454">
        <v>0</v>
      </c>
      <c r="L2454">
        <v>0</v>
      </c>
      <c r="M2454">
        <v>0</v>
      </c>
      <c r="N2454">
        <v>0</v>
      </c>
      <c r="O2454">
        <v>0</v>
      </c>
      <c r="P2454">
        <v>0</v>
      </c>
      <c r="Q2454">
        <v>0</v>
      </c>
      <c r="R2454">
        <v>0</v>
      </c>
      <c r="S2454">
        <v>0</v>
      </c>
      <c r="T2454">
        <v>0</v>
      </c>
      <c r="V2454">
        <v>0</v>
      </c>
      <c r="W2454" t="s">
        <v>3589</v>
      </c>
    </row>
    <row r="2455" spans="1:23" x14ac:dyDescent="0.25">
      <c r="H2455">
        <v>703</v>
      </c>
    </row>
    <row r="2456" spans="1:23" x14ac:dyDescent="0.25">
      <c r="A2456">
        <v>1225</v>
      </c>
      <c r="B2456">
        <v>954</v>
      </c>
      <c r="C2456" t="s">
        <v>3590</v>
      </c>
      <c r="D2456" t="s">
        <v>1670</v>
      </c>
      <c r="E2456" t="s">
        <v>76</v>
      </c>
      <c r="F2456" t="s">
        <v>3591</v>
      </c>
      <c r="G2456" t="str">
        <f>"201511021582"</f>
        <v>201511021582</v>
      </c>
      <c r="H2456">
        <v>825</v>
      </c>
      <c r="I2456">
        <v>0</v>
      </c>
      <c r="J2456">
        <v>30</v>
      </c>
      <c r="K2456">
        <v>0</v>
      </c>
      <c r="L2456">
        <v>0</v>
      </c>
      <c r="M2456">
        <v>0</v>
      </c>
      <c r="N2456">
        <v>0</v>
      </c>
      <c r="O2456">
        <v>0</v>
      </c>
      <c r="P2456">
        <v>0</v>
      </c>
      <c r="Q2456">
        <v>0</v>
      </c>
      <c r="R2456">
        <v>58</v>
      </c>
      <c r="S2456">
        <v>406</v>
      </c>
      <c r="T2456">
        <v>0</v>
      </c>
      <c r="V2456">
        <v>0</v>
      </c>
      <c r="W2456">
        <v>1261</v>
      </c>
    </row>
    <row r="2457" spans="1:23" x14ac:dyDescent="0.25">
      <c r="H2457">
        <v>703</v>
      </c>
    </row>
    <row r="2458" spans="1:23" x14ac:dyDescent="0.25">
      <c r="A2458">
        <v>1226</v>
      </c>
      <c r="B2458">
        <v>792</v>
      </c>
      <c r="C2458" t="s">
        <v>3592</v>
      </c>
      <c r="D2458" t="s">
        <v>912</v>
      </c>
      <c r="E2458" t="s">
        <v>99</v>
      </c>
      <c r="F2458" t="s">
        <v>3593</v>
      </c>
      <c r="G2458" t="str">
        <f>"201405002029"</f>
        <v>201405002029</v>
      </c>
      <c r="H2458">
        <v>990</v>
      </c>
      <c r="I2458">
        <v>0</v>
      </c>
      <c r="J2458">
        <v>30</v>
      </c>
      <c r="K2458">
        <v>0</v>
      </c>
      <c r="L2458">
        <v>0</v>
      </c>
      <c r="M2458">
        <v>30</v>
      </c>
      <c r="N2458">
        <v>0</v>
      </c>
      <c r="O2458">
        <v>0</v>
      </c>
      <c r="P2458">
        <v>0</v>
      </c>
      <c r="Q2458">
        <v>0</v>
      </c>
      <c r="R2458">
        <v>30</v>
      </c>
      <c r="S2458">
        <v>210</v>
      </c>
      <c r="T2458">
        <v>0</v>
      </c>
      <c r="V2458">
        <v>0</v>
      </c>
      <c r="W2458">
        <v>1260</v>
      </c>
    </row>
    <row r="2459" spans="1:23" x14ac:dyDescent="0.25">
      <c r="H2459" t="s">
        <v>70</v>
      </c>
    </row>
    <row r="2460" spans="1:23" x14ac:dyDescent="0.25">
      <c r="A2460">
        <v>1227</v>
      </c>
      <c r="B2460">
        <v>932</v>
      </c>
      <c r="C2460" t="s">
        <v>3594</v>
      </c>
      <c r="D2460" t="s">
        <v>112</v>
      </c>
      <c r="E2460" t="s">
        <v>227</v>
      </c>
      <c r="F2460" t="s">
        <v>3595</v>
      </c>
      <c r="G2460" t="str">
        <f>"201511006929"</f>
        <v>201511006929</v>
      </c>
      <c r="H2460">
        <v>1056</v>
      </c>
      <c r="I2460">
        <v>0</v>
      </c>
      <c r="J2460">
        <v>70</v>
      </c>
      <c r="K2460">
        <v>0</v>
      </c>
      <c r="L2460">
        <v>0</v>
      </c>
      <c r="M2460">
        <v>0</v>
      </c>
      <c r="N2460">
        <v>0</v>
      </c>
      <c r="O2460">
        <v>0</v>
      </c>
      <c r="P2460">
        <v>0</v>
      </c>
      <c r="Q2460">
        <v>0</v>
      </c>
      <c r="R2460">
        <v>19</v>
      </c>
      <c r="S2460">
        <v>133</v>
      </c>
      <c r="T2460">
        <v>0</v>
      </c>
      <c r="V2460">
        <v>0</v>
      </c>
      <c r="W2460">
        <v>1259</v>
      </c>
    </row>
    <row r="2461" spans="1:23" x14ac:dyDescent="0.25">
      <c r="H2461" t="s">
        <v>3596</v>
      </c>
    </row>
    <row r="2462" spans="1:23" x14ac:dyDescent="0.25">
      <c r="A2462">
        <v>1228</v>
      </c>
      <c r="B2462">
        <v>1034</v>
      </c>
      <c r="C2462" t="s">
        <v>3597</v>
      </c>
      <c r="D2462" t="s">
        <v>3598</v>
      </c>
      <c r="E2462" t="s">
        <v>91</v>
      </c>
      <c r="F2462" t="s">
        <v>3599</v>
      </c>
      <c r="G2462" t="str">
        <f>"200712000866"</f>
        <v>200712000866</v>
      </c>
      <c r="H2462">
        <v>671</v>
      </c>
      <c r="I2462">
        <v>0</v>
      </c>
      <c r="J2462">
        <v>0</v>
      </c>
      <c r="K2462">
        <v>0</v>
      </c>
      <c r="L2462">
        <v>0</v>
      </c>
      <c r="M2462">
        <v>0</v>
      </c>
      <c r="N2462">
        <v>0</v>
      </c>
      <c r="O2462">
        <v>0</v>
      </c>
      <c r="P2462">
        <v>0</v>
      </c>
      <c r="Q2462">
        <v>0</v>
      </c>
      <c r="R2462">
        <v>84</v>
      </c>
      <c r="S2462">
        <v>588</v>
      </c>
      <c r="T2462">
        <v>0</v>
      </c>
      <c r="V2462">
        <v>0</v>
      </c>
      <c r="W2462">
        <v>1259</v>
      </c>
    </row>
    <row r="2463" spans="1:23" x14ac:dyDescent="0.25">
      <c r="H2463">
        <v>703</v>
      </c>
    </row>
    <row r="2464" spans="1:23" x14ac:dyDescent="0.25">
      <c r="A2464">
        <v>1229</v>
      </c>
      <c r="B2464">
        <v>1661</v>
      </c>
      <c r="C2464" t="s">
        <v>3600</v>
      </c>
      <c r="D2464" t="s">
        <v>273</v>
      </c>
      <c r="E2464" t="s">
        <v>99</v>
      </c>
      <c r="F2464" t="s">
        <v>3601</v>
      </c>
      <c r="G2464" t="str">
        <f>"201502004023"</f>
        <v>201502004023</v>
      </c>
      <c r="H2464" t="s">
        <v>3317</v>
      </c>
      <c r="I2464">
        <v>150</v>
      </c>
      <c r="J2464">
        <v>50</v>
      </c>
      <c r="K2464">
        <v>0</v>
      </c>
      <c r="L2464">
        <v>0</v>
      </c>
      <c r="M2464">
        <v>0</v>
      </c>
      <c r="N2464">
        <v>0</v>
      </c>
      <c r="O2464">
        <v>0</v>
      </c>
      <c r="P2464">
        <v>0</v>
      </c>
      <c r="Q2464">
        <v>0</v>
      </c>
      <c r="R2464">
        <v>47</v>
      </c>
      <c r="S2464">
        <v>329</v>
      </c>
      <c r="T2464">
        <v>0</v>
      </c>
      <c r="V2464">
        <v>0</v>
      </c>
      <c r="W2464" t="s">
        <v>3602</v>
      </c>
    </row>
    <row r="2465" spans="1:23" x14ac:dyDescent="0.25">
      <c r="H2465" t="s">
        <v>70</v>
      </c>
    </row>
    <row r="2466" spans="1:23" x14ac:dyDescent="0.25">
      <c r="A2466">
        <v>1230</v>
      </c>
      <c r="B2466">
        <v>412</v>
      </c>
      <c r="C2466" t="s">
        <v>3603</v>
      </c>
      <c r="D2466" t="s">
        <v>230</v>
      </c>
      <c r="E2466" t="s">
        <v>53</v>
      </c>
      <c r="F2466" t="s">
        <v>3604</v>
      </c>
      <c r="G2466" t="str">
        <f>"00227097"</f>
        <v>00227097</v>
      </c>
      <c r="H2466" t="s">
        <v>2274</v>
      </c>
      <c r="I2466">
        <v>0</v>
      </c>
      <c r="J2466">
        <v>50</v>
      </c>
      <c r="K2466">
        <v>0</v>
      </c>
      <c r="L2466">
        <v>0</v>
      </c>
      <c r="M2466">
        <v>0</v>
      </c>
      <c r="N2466">
        <v>0</v>
      </c>
      <c r="O2466">
        <v>0</v>
      </c>
      <c r="P2466">
        <v>0</v>
      </c>
      <c r="Q2466">
        <v>0</v>
      </c>
      <c r="R2466">
        <v>42</v>
      </c>
      <c r="S2466">
        <v>294</v>
      </c>
      <c r="T2466">
        <v>0</v>
      </c>
      <c r="V2466">
        <v>2</v>
      </c>
      <c r="W2466" t="s">
        <v>3605</v>
      </c>
    </row>
    <row r="2467" spans="1:23" x14ac:dyDescent="0.25">
      <c r="H2467" t="s">
        <v>26</v>
      </c>
    </row>
    <row r="2468" spans="1:23" x14ac:dyDescent="0.25">
      <c r="A2468">
        <v>1231</v>
      </c>
      <c r="B2468">
        <v>2721</v>
      </c>
      <c r="C2468" t="s">
        <v>3606</v>
      </c>
      <c r="D2468" t="s">
        <v>1026</v>
      </c>
      <c r="E2468" t="s">
        <v>113</v>
      </c>
      <c r="F2468" t="s">
        <v>3607</v>
      </c>
      <c r="G2468" t="str">
        <f>"201402001633"</f>
        <v>201402001633</v>
      </c>
      <c r="H2468">
        <v>935</v>
      </c>
      <c r="I2468">
        <v>0</v>
      </c>
      <c r="J2468">
        <v>50</v>
      </c>
      <c r="K2468">
        <v>0</v>
      </c>
      <c r="L2468">
        <v>0</v>
      </c>
      <c r="M2468">
        <v>0</v>
      </c>
      <c r="N2468">
        <v>0</v>
      </c>
      <c r="O2468">
        <v>0</v>
      </c>
      <c r="P2468">
        <v>70</v>
      </c>
      <c r="Q2468">
        <v>0</v>
      </c>
      <c r="R2468">
        <v>29</v>
      </c>
      <c r="S2468">
        <v>203</v>
      </c>
      <c r="T2468">
        <v>0</v>
      </c>
      <c r="V2468">
        <v>0</v>
      </c>
      <c r="W2468">
        <v>1258</v>
      </c>
    </row>
    <row r="2469" spans="1:23" x14ac:dyDescent="0.25">
      <c r="H2469">
        <v>703</v>
      </c>
    </row>
    <row r="2470" spans="1:23" x14ac:dyDescent="0.25">
      <c r="A2470">
        <v>1232</v>
      </c>
      <c r="B2470">
        <v>2118</v>
      </c>
      <c r="C2470" t="s">
        <v>3608</v>
      </c>
      <c r="D2470" t="s">
        <v>219</v>
      </c>
      <c r="E2470" t="s">
        <v>109</v>
      </c>
      <c r="F2470" t="s">
        <v>3609</v>
      </c>
      <c r="G2470" t="str">
        <f>"00230133"</f>
        <v>00230133</v>
      </c>
      <c r="H2470" t="s">
        <v>3465</v>
      </c>
      <c r="I2470">
        <v>0</v>
      </c>
      <c r="J2470">
        <v>0</v>
      </c>
      <c r="K2470">
        <v>0</v>
      </c>
      <c r="L2470">
        <v>0</v>
      </c>
      <c r="M2470">
        <v>0</v>
      </c>
      <c r="N2470">
        <v>0</v>
      </c>
      <c r="O2470">
        <v>0</v>
      </c>
      <c r="P2470">
        <v>0</v>
      </c>
      <c r="Q2470">
        <v>0</v>
      </c>
      <c r="R2470">
        <v>84</v>
      </c>
      <c r="S2470">
        <v>588</v>
      </c>
      <c r="T2470">
        <v>0</v>
      </c>
      <c r="V2470">
        <v>0</v>
      </c>
      <c r="W2470" t="s">
        <v>3610</v>
      </c>
    </row>
    <row r="2471" spans="1:23" x14ac:dyDescent="0.25">
      <c r="H2471">
        <v>703</v>
      </c>
    </row>
    <row r="2472" spans="1:23" x14ac:dyDescent="0.25">
      <c r="A2472">
        <v>1233</v>
      </c>
      <c r="B2472">
        <v>3035</v>
      </c>
      <c r="C2472" t="s">
        <v>686</v>
      </c>
      <c r="D2472" t="s">
        <v>344</v>
      </c>
      <c r="E2472" t="s">
        <v>1633</v>
      </c>
      <c r="F2472" t="s">
        <v>3611</v>
      </c>
      <c r="G2472" t="str">
        <f>"201511009710"</f>
        <v>201511009710</v>
      </c>
      <c r="H2472" t="s">
        <v>3612</v>
      </c>
      <c r="I2472">
        <v>150</v>
      </c>
      <c r="J2472">
        <v>0</v>
      </c>
      <c r="K2472">
        <v>0</v>
      </c>
      <c r="L2472">
        <v>0</v>
      </c>
      <c r="M2472">
        <v>0</v>
      </c>
      <c r="N2472">
        <v>0</v>
      </c>
      <c r="O2472">
        <v>0</v>
      </c>
      <c r="P2472">
        <v>0</v>
      </c>
      <c r="Q2472">
        <v>0</v>
      </c>
      <c r="R2472">
        <v>10</v>
      </c>
      <c r="S2472">
        <v>70</v>
      </c>
      <c r="T2472">
        <v>0</v>
      </c>
      <c r="V2472">
        <v>0</v>
      </c>
      <c r="W2472" t="s">
        <v>3613</v>
      </c>
    </row>
    <row r="2473" spans="1:23" x14ac:dyDescent="0.25">
      <c r="H2473">
        <v>703</v>
      </c>
    </row>
    <row r="2474" spans="1:23" x14ac:dyDescent="0.25">
      <c r="A2474">
        <v>1234</v>
      </c>
      <c r="B2474">
        <v>2596</v>
      </c>
      <c r="C2474" t="s">
        <v>3614</v>
      </c>
      <c r="D2474" t="s">
        <v>392</v>
      </c>
      <c r="E2474" t="s">
        <v>125</v>
      </c>
      <c r="F2474" t="s">
        <v>3615</v>
      </c>
      <c r="G2474" t="str">
        <f>"201406005692"</f>
        <v>201406005692</v>
      </c>
      <c r="H2474" t="s">
        <v>232</v>
      </c>
      <c r="I2474">
        <v>150</v>
      </c>
      <c r="J2474">
        <v>30</v>
      </c>
      <c r="K2474">
        <v>0</v>
      </c>
      <c r="L2474">
        <v>0</v>
      </c>
      <c r="M2474">
        <v>0</v>
      </c>
      <c r="N2474">
        <v>0</v>
      </c>
      <c r="O2474">
        <v>0</v>
      </c>
      <c r="P2474">
        <v>0</v>
      </c>
      <c r="Q2474">
        <v>0</v>
      </c>
      <c r="R2474">
        <v>0</v>
      </c>
      <c r="S2474">
        <v>0</v>
      </c>
      <c r="T2474">
        <v>0</v>
      </c>
      <c r="V2474">
        <v>0</v>
      </c>
      <c r="W2474" t="s">
        <v>3616</v>
      </c>
    </row>
    <row r="2475" spans="1:23" x14ac:dyDescent="0.25">
      <c r="H2475">
        <v>703</v>
      </c>
    </row>
    <row r="2476" spans="1:23" x14ac:dyDescent="0.25">
      <c r="A2476">
        <v>1235</v>
      </c>
      <c r="B2476">
        <v>2770</v>
      </c>
      <c r="C2476" t="s">
        <v>3617</v>
      </c>
      <c r="D2476" t="s">
        <v>273</v>
      </c>
      <c r="E2476" t="s">
        <v>99</v>
      </c>
      <c r="F2476" t="s">
        <v>3618</v>
      </c>
      <c r="G2476" t="str">
        <f>"200801006127"</f>
        <v>200801006127</v>
      </c>
      <c r="H2476" t="s">
        <v>840</v>
      </c>
      <c r="I2476">
        <v>150</v>
      </c>
      <c r="J2476">
        <v>30</v>
      </c>
      <c r="K2476">
        <v>0</v>
      </c>
      <c r="L2476">
        <v>0</v>
      </c>
      <c r="M2476">
        <v>30</v>
      </c>
      <c r="N2476">
        <v>30</v>
      </c>
      <c r="O2476">
        <v>0</v>
      </c>
      <c r="P2476">
        <v>0</v>
      </c>
      <c r="Q2476">
        <v>0</v>
      </c>
      <c r="R2476">
        <v>14</v>
      </c>
      <c r="S2476">
        <v>98</v>
      </c>
      <c r="T2476">
        <v>0</v>
      </c>
      <c r="V2476">
        <v>0</v>
      </c>
      <c r="W2476" t="s">
        <v>3619</v>
      </c>
    </row>
    <row r="2477" spans="1:23" x14ac:dyDescent="0.25">
      <c r="H2477" t="s">
        <v>70</v>
      </c>
    </row>
    <row r="2478" spans="1:23" x14ac:dyDescent="0.25">
      <c r="A2478">
        <v>1236</v>
      </c>
      <c r="B2478">
        <v>114</v>
      </c>
      <c r="C2478" t="s">
        <v>3620</v>
      </c>
      <c r="D2478" t="s">
        <v>62</v>
      </c>
      <c r="E2478" t="s">
        <v>533</v>
      </c>
      <c r="F2478" t="s">
        <v>3621</v>
      </c>
      <c r="G2478" t="str">
        <f>"201304002125"</f>
        <v>201304002125</v>
      </c>
      <c r="H2478">
        <v>946</v>
      </c>
      <c r="I2478">
        <v>0</v>
      </c>
      <c r="J2478">
        <v>70</v>
      </c>
      <c r="K2478">
        <v>0</v>
      </c>
      <c r="L2478">
        <v>30</v>
      </c>
      <c r="M2478">
        <v>0</v>
      </c>
      <c r="N2478">
        <v>0</v>
      </c>
      <c r="O2478">
        <v>0</v>
      </c>
      <c r="P2478">
        <v>0</v>
      </c>
      <c r="Q2478">
        <v>0</v>
      </c>
      <c r="R2478">
        <v>30</v>
      </c>
      <c r="S2478">
        <v>210</v>
      </c>
      <c r="T2478">
        <v>0</v>
      </c>
      <c r="V2478">
        <v>1</v>
      </c>
      <c r="W2478">
        <v>1256</v>
      </c>
    </row>
    <row r="2479" spans="1:23" x14ac:dyDescent="0.25">
      <c r="H2479" t="s">
        <v>70</v>
      </c>
    </row>
    <row r="2480" spans="1:23" x14ac:dyDescent="0.25">
      <c r="A2480">
        <v>1237</v>
      </c>
      <c r="B2480">
        <v>700</v>
      </c>
      <c r="C2480" t="s">
        <v>3622</v>
      </c>
      <c r="D2480" t="s">
        <v>3623</v>
      </c>
      <c r="E2480" t="s">
        <v>105</v>
      </c>
      <c r="F2480" t="s">
        <v>3624</v>
      </c>
      <c r="G2480" t="str">
        <f>"00092709"</f>
        <v>00092709</v>
      </c>
      <c r="H2480">
        <v>1045</v>
      </c>
      <c r="I2480">
        <v>150</v>
      </c>
      <c r="J2480">
        <v>30</v>
      </c>
      <c r="K2480">
        <v>0</v>
      </c>
      <c r="L2480">
        <v>30</v>
      </c>
      <c r="M2480">
        <v>0</v>
      </c>
      <c r="N2480">
        <v>0</v>
      </c>
      <c r="O2480">
        <v>0</v>
      </c>
      <c r="P2480">
        <v>0</v>
      </c>
      <c r="Q2480">
        <v>0</v>
      </c>
      <c r="R2480">
        <v>0</v>
      </c>
      <c r="S2480">
        <v>0</v>
      </c>
      <c r="T2480">
        <v>0</v>
      </c>
      <c r="V2480">
        <v>0</v>
      </c>
      <c r="W2480">
        <v>1255</v>
      </c>
    </row>
    <row r="2481" spans="1:23" x14ac:dyDescent="0.25">
      <c r="H2481" t="s">
        <v>70</v>
      </c>
    </row>
    <row r="2482" spans="1:23" x14ac:dyDescent="0.25">
      <c r="A2482">
        <v>1238</v>
      </c>
      <c r="B2482">
        <v>735</v>
      </c>
      <c r="C2482" t="s">
        <v>3625</v>
      </c>
      <c r="D2482" t="s">
        <v>20</v>
      </c>
      <c r="E2482" t="s">
        <v>842</v>
      </c>
      <c r="F2482" t="s">
        <v>3626</v>
      </c>
      <c r="G2482" t="str">
        <f>"00193141"</f>
        <v>00193141</v>
      </c>
      <c r="H2482">
        <v>990</v>
      </c>
      <c r="I2482">
        <v>150</v>
      </c>
      <c r="J2482">
        <v>50</v>
      </c>
      <c r="K2482">
        <v>30</v>
      </c>
      <c r="L2482">
        <v>0</v>
      </c>
      <c r="M2482">
        <v>0</v>
      </c>
      <c r="N2482">
        <v>0</v>
      </c>
      <c r="O2482">
        <v>0</v>
      </c>
      <c r="P2482">
        <v>0</v>
      </c>
      <c r="Q2482">
        <v>0</v>
      </c>
      <c r="R2482">
        <v>5</v>
      </c>
      <c r="S2482">
        <v>35</v>
      </c>
      <c r="T2482">
        <v>0</v>
      </c>
      <c r="V2482">
        <v>0</v>
      </c>
      <c r="W2482">
        <v>1255</v>
      </c>
    </row>
    <row r="2483" spans="1:23" x14ac:dyDescent="0.25">
      <c r="H2483">
        <v>703</v>
      </c>
    </row>
    <row r="2484" spans="1:23" x14ac:dyDescent="0.25">
      <c r="A2484">
        <v>1239</v>
      </c>
      <c r="B2484">
        <v>841</v>
      </c>
      <c r="C2484" t="s">
        <v>1727</v>
      </c>
      <c r="D2484" t="s">
        <v>52</v>
      </c>
      <c r="E2484" t="s">
        <v>53</v>
      </c>
      <c r="F2484" t="s">
        <v>3627</v>
      </c>
      <c r="G2484" t="str">
        <f>"201405001370"</f>
        <v>201405001370</v>
      </c>
      <c r="H2484" t="s">
        <v>1591</v>
      </c>
      <c r="I2484">
        <v>150</v>
      </c>
      <c r="J2484">
        <v>30</v>
      </c>
      <c r="K2484">
        <v>0</v>
      </c>
      <c r="L2484">
        <v>0</v>
      </c>
      <c r="M2484">
        <v>0</v>
      </c>
      <c r="N2484">
        <v>0</v>
      </c>
      <c r="O2484">
        <v>0</v>
      </c>
      <c r="P2484">
        <v>0</v>
      </c>
      <c r="Q2484">
        <v>0</v>
      </c>
      <c r="R2484">
        <v>0</v>
      </c>
      <c r="S2484">
        <v>0</v>
      </c>
      <c r="T2484">
        <v>0</v>
      </c>
      <c r="V2484">
        <v>0</v>
      </c>
      <c r="W2484" t="s">
        <v>3628</v>
      </c>
    </row>
    <row r="2485" spans="1:23" x14ac:dyDescent="0.25">
      <c r="H2485">
        <v>703</v>
      </c>
    </row>
    <row r="2486" spans="1:23" x14ac:dyDescent="0.25">
      <c r="A2486">
        <v>1240</v>
      </c>
      <c r="B2486">
        <v>1381</v>
      </c>
      <c r="C2486" t="s">
        <v>3629</v>
      </c>
      <c r="D2486" t="s">
        <v>2336</v>
      </c>
      <c r="E2486" t="s">
        <v>91</v>
      </c>
      <c r="F2486" t="s">
        <v>3630</v>
      </c>
      <c r="G2486" t="str">
        <f>"201506004155"</f>
        <v>201506004155</v>
      </c>
      <c r="H2486" t="s">
        <v>281</v>
      </c>
      <c r="I2486">
        <v>150</v>
      </c>
      <c r="J2486">
        <v>30</v>
      </c>
      <c r="K2486">
        <v>0</v>
      </c>
      <c r="L2486">
        <v>0</v>
      </c>
      <c r="M2486">
        <v>0</v>
      </c>
      <c r="N2486">
        <v>0</v>
      </c>
      <c r="O2486">
        <v>0</v>
      </c>
      <c r="P2486">
        <v>0</v>
      </c>
      <c r="Q2486">
        <v>0</v>
      </c>
      <c r="R2486">
        <v>5</v>
      </c>
      <c r="S2486">
        <v>35</v>
      </c>
      <c r="T2486">
        <v>0</v>
      </c>
      <c r="V2486">
        <v>2</v>
      </c>
      <c r="W2486" t="s">
        <v>3631</v>
      </c>
    </row>
    <row r="2487" spans="1:23" x14ac:dyDescent="0.25">
      <c r="H2487">
        <v>703</v>
      </c>
    </row>
    <row r="2488" spans="1:23" x14ac:dyDescent="0.25">
      <c r="A2488">
        <v>1241</v>
      </c>
      <c r="B2488">
        <v>1444</v>
      </c>
      <c r="C2488" t="s">
        <v>3632</v>
      </c>
      <c r="D2488" t="s">
        <v>20</v>
      </c>
      <c r="E2488" t="s">
        <v>58</v>
      </c>
      <c r="F2488" t="s">
        <v>3633</v>
      </c>
      <c r="G2488" t="str">
        <f>"00230541"</f>
        <v>00230541</v>
      </c>
      <c r="H2488">
        <v>990</v>
      </c>
      <c r="I2488">
        <v>150</v>
      </c>
      <c r="J2488">
        <v>30</v>
      </c>
      <c r="K2488">
        <v>0</v>
      </c>
      <c r="L2488">
        <v>0</v>
      </c>
      <c r="M2488">
        <v>0</v>
      </c>
      <c r="N2488">
        <v>0</v>
      </c>
      <c r="O2488">
        <v>0</v>
      </c>
      <c r="P2488">
        <v>0</v>
      </c>
      <c r="Q2488">
        <v>0</v>
      </c>
      <c r="R2488">
        <v>12</v>
      </c>
      <c r="S2488">
        <v>84</v>
      </c>
      <c r="T2488">
        <v>0</v>
      </c>
      <c r="V2488">
        <v>0</v>
      </c>
      <c r="W2488">
        <v>1254</v>
      </c>
    </row>
    <row r="2489" spans="1:23" x14ac:dyDescent="0.25">
      <c r="H2489">
        <v>703</v>
      </c>
    </row>
    <row r="2490" spans="1:23" x14ac:dyDescent="0.25">
      <c r="A2490">
        <v>1242</v>
      </c>
      <c r="B2490">
        <v>2515</v>
      </c>
      <c r="C2490" t="s">
        <v>3634</v>
      </c>
      <c r="D2490" t="s">
        <v>2336</v>
      </c>
      <c r="E2490" t="s">
        <v>15</v>
      </c>
      <c r="F2490" t="s">
        <v>3635</v>
      </c>
      <c r="G2490" t="str">
        <f>"00230083"</f>
        <v>00230083</v>
      </c>
      <c r="H2490" t="s">
        <v>1532</v>
      </c>
      <c r="I2490">
        <v>0</v>
      </c>
      <c r="J2490">
        <v>70</v>
      </c>
      <c r="K2490">
        <v>0</v>
      </c>
      <c r="L2490">
        <v>30</v>
      </c>
      <c r="M2490">
        <v>0</v>
      </c>
      <c r="N2490">
        <v>0</v>
      </c>
      <c r="O2490">
        <v>0</v>
      </c>
      <c r="P2490">
        <v>0</v>
      </c>
      <c r="Q2490">
        <v>0</v>
      </c>
      <c r="R2490">
        <v>32</v>
      </c>
      <c r="S2490">
        <v>224</v>
      </c>
      <c r="T2490">
        <v>0</v>
      </c>
      <c r="V2490">
        <v>0</v>
      </c>
      <c r="W2490" t="s">
        <v>3636</v>
      </c>
    </row>
    <row r="2491" spans="1:23" x14ac:dyDescent="0.25">
      <c r="H2491" t="s">
        <v>70</v>
      </c>
    </row>
    <row r="2492" spans="1:23" x14ac:dyDescent="0.25">
      <c r="A2492">
        <v>1243</v>
      </c>
      <c r="B2492">
        <v>1790</v>
      </c>
      <c r="C2492" t="s">
        <v>1534</v>
      </c>
      <c r="D2492" t="s">
        <v>28</v>
      </c>
      <c r="E2492" t="s">
        <v>3637</v>
      </c>
      <c r="F2492" t="s">
        <v>3638</v>
      </c>
      <c r="G2492" t="str">
        <f>"00219826"</f>
        <v>00219826</v>
      </c>
      <c r="H2492" t="s">
        <v>1212</v>
      </c>
      <c r="I2492">
        <v>0</v>
      </c>
      <c r="J2492">
        <v>70</v>
      </c>
      <c r="K2492">
        <v>0</v>
      </c>
      <c r="L2492">
        <v>0</v>
      </c>
      <c r="M2492">
        <v>0</v>
      </c>
      <c r="N2492">
        <v>0</v>
      </c>
      <c r="O2492">
        <v>0</v>
      </c>
      <c r="P2492">
        <v>0</v>
      </c>
      <c r="Q2492">
        <v>0</v>
      </c>
      <c r="R2492">
        <v>52</v>
      </c>
      <c r="S2492">
        <v>364</v>
      </c>
      <c r="T2492">
        <v>0</v>
      </c>
      <c r="V2492">
        <v>0</v>
      </c>
      <c r="W2492" t="s">
        <v>3636</v>
      </c>
    </row>
    <row r="2493" spans="1:23" x14ac:dyDescent="0.25">
      <c r="H2493">
        <v>703</v>
      </c>
    </row>
    <row r="2494" spans="1:23" x14ac:dyDescent="0.25">
      <c r="A2494">
        <v>1244</v>
      </c>
      <c r="B2494">
        <v>1523</v>
      </c>
      <c r="C2494" t="s">
        <v>3639</v>
      </c>
      <c r="D2494" t="s">
        <v>1476</v>
      </c>
      <c r="E2494" t="s">
        <v>47</v>
      </c>
      <c r="F2494" t="s">
        <v>3640</v>
      </c>
      <c r="G2494" t="str">
        <f>"201511032894"</f>
        <v>201511032894</v>
      </c>
      <c r="H2494">
        <v>1001</v>
      </c>
      <c r="I2494">
        <v>150</v>
      </c>
      <c r="J2494">
        <v>30</v>
      </c>
      <c r="K2494">
        <v>0</v>
      </c>
      <c r="L2494">
        <v>0</v>
      </c>
      <c r="M2494">
        <v>30</v>
      </c>
      <c r="N2494">
        <v>0</v>
      </c>
      <c r="O2494">
        <v>0</v>
      </c>
      <c r="P2494">
        <v>0</v>
      </c>
      <c r="Q2494">
        <v>0</v>
      </c>
      <c r="R2494">
        <v>6</v>
      </c>
      <c r="S2494">
        <v>42</v>
      </c>
      <c r="T2494">
        <v>0</v>
      </c>
      <c r="V2494">
        <v>0</v>
      </c>
      <c r="W2494">
        <v>1253</v>
      </c>
    </row>
    <row r="2495" spans="1:23" x14ac:dyDescent="0.25">
      <c r="H2495" t="s">
        <v>70</v>
      </c>
    </row>
    <row r="2496" spans="1:23" x14ac:dyDescent="0.25">
      <c r="A2496">
        <v>1245</v>
      </c>
      <c r="B2496">
        <v>1968</v>
      </c>
      <c r="C2496" t="s">
        <v>3358</v>
      </c>
      <c r="D2496" t="s">
        <v>293</v>
      </c>
      <c r="E2496" t="s">
        <v>523</v>
      </c>
      <c r="F2496" t="s">
        <v>3641</v>
      </c>
      <c r="G2496" t="str">
        <f>"00145519"</f>
        <v>00145519</v>
      </c>
      <c r="H2496" t="s">
        <v>1193</v>
      </c>
      <c r="I2496">
        <v>0</v>
      </c>
      <c r="J2496">
        <v>30</v>
      </c>
      <c r="K2496">
        <v>0</v>
      </c>
      <c r="L2496">
        <v>0</v>
      </c>
      <c r="M2496">
        <v>0</v>
      </c>
      <c r="N2496">
        <v>0</v>
      </c>
      <c r="O2496">
        <v>0</v>
      </c>
      <c r="P2496">
        <v>0</v>
      </c>
      <c r="Q2496">
        <v>0</v>
      </c>
      <c r="R2496">
        <v>26</v>
      </c>
      <c r="S2496">
        <v>182</v>
      </c>
      <c r="T2496">
        <v>0</v>
      </c>
      <c r="V2496">
        <v>0</v>
      </c>
      <c r="W2496" t="s">
        <v>3642</v>
      </c>
    </row>
    <row r="2497" spans="1:23" x14ac:dyDescent="0.25">
      <c r="H2497" t="s">
        <v>26</v>
      </c>
    </row>
    <row r="2498" spans="1:23" x14ac:dyDescent="0.25">
      <c r="A2498">
        <v>1246</v>
      </c>
      <c r="B2498">
        <v>2126</v>
      </c>
      <c r="C2498" t="s">
        <v>3643</v>
      </c>
      <c r="D2498" t="s">
        <v>140</v>
      </c>
      <c r="E2498" t="s">
        <v>76</v>
      </c>
      <c r="F2498" t="s">
        <v>3644</v>
      </c>
      <c r="G2498" t="str">
        <f>"00218422"</f>
        <v>00218422</v>
      </c>
      <c r="H2498" t="s">
        <v>137</v>
      </c>
      <c r="I2498">
        <v>150</v>
      </c>
      <c r="J2498">
        <v>30</v>
      </c>
      <c r="K2498">
        <v>0</v>
      </c>
      <c r="L2498">
        <v>0</v>
      </c>
      <c r="M2498">
        <v>0</v>
      </c>
      <c r="N2498">
        <v>0</v>
      </c>
      <c r="O2498">
        <v>0</v>
      </c>
      <c r="P2498">
        <v>0</v>
      </c>
      <c r="Q2498">
        <v>0</v>
      </c>
      <c r="R2498">
        <v>0</v>
      </c>
      <c r="S2498">
        <v>0</v>
      </c>
      <c r="T2498">
        <v>0</v>
      </c>
      <c r="V2498">
        <v>0</v>
      </c>
      <c r="W2498" t="s">
        <v>3645</v>
      </c>
    </row>
    <row r="2499" spans="1:23" x14ac:dyDescent="0.25">
      <c r="H2499">
        <v>703</v>
      </c>
    </row>
    <row r="2500" spans="1:23" x14ac:dyDescent="0.25">
      <c r="A2500">
        <v>1247</v>
      </c>
      <c r="B2500">
        <v>1231</v>
      </c>
      <c r="C2500" t="s">
        <v>3646</v>
      </c>
      <c r="D2500" t="s">
        <v>32</v>
      </c>
      <c r="E2500" t="s">
        <v>53</v>
      </c>
      <c r="F2500" t="s">
        <v>3647</v>
      </c>
      <c r="G2500" t="str">
        <f>"200809000699"</f>
        <v>200809000699</v>
      </c>
      <c r="H2500" t="s">
        <v>202</v>
      </c>
      <c r="I2500">
        <v>0</v>
      </c>
      <c r="J2500">
        <v>30</v>
      </c>
      <c r="K2500">
        <v>0</v>
      </c>
      <c r="L2500">
        <v>0</v>
      </c>
      <c r="M2500">
        <v>0</v>
      </c>
      <c r="N2500">
        <v>0</v>
      </c>
      <c r="O2500">
        <v>0</v>
      </c>
      <c r="P2500">
        <v>0</v>
      </c>
      <c r="Q2500">
        <v>0</v>
      </c>
      <c r="R2500">
        <v>34</v>
      </c>
      <c r="S2500">
        <v>238</v>
      </c>
      <c r="T2500">
        <v>0</v>
      </c>
      <c r="V2500">
        <v>2</v>
      </c>
      <c r="W2500" t="s">
        <v>3645</v>
      </c>
    </row>
    <row r="2501" spans="1:23" x14ac:dyDescent="0.25">
      <c r="H2501" t="s">
        <v>26</v>
      </c>
    </row>
    <row r="2502" spans="1:23" x14ac:dyDescent="0.25">
      <c r="A2502">
        <v>1248</v>
      </c>
      <c r="B2502">
        <v>2489</v>
      </c>
      <c r="C2502" t="s">
        <v>3648</v>
      </c>
      <c r="D2502" t="s">
        <v>46</v>
      </c>
      <c r="E2502" t="s">
        <v>91</v>
      </c>
      <c r="F2502" t="s">
        <v>3649</v>
      </c>
      <c r="G2502" t="str">
        <f>"00009366"</f>
        <v>00009366</v>
      </c>
      <c r="H2502" t="s">
        <v>3650</v>
      </c>
      <c r="I2502">
        <v>150</v>
      </c>
      <c r="J2502">
        <v>30</v>
      </c>
      <c r="K2502">
        <v>0</v>
      </c>
      <c r="L2502">
        <v>0</v>
      </c>
      <c r="M2502">
        <v>0</v>
      </c>
      <c r="N2502">
        <v>0</v>
      </c>
      <c r="O2502">
        <v>0</v>
      </c>
      <c r="P2502">
        <v>0</v>
      </c>
      <c r="Q2502">
        <v>0</v>
      </c>
      <c r="R2502">
        <v>0</v>
      </c>
      <c r="S2502">
        <v>0</v>
      </c>
      <c r="T2502">
        <v>0</v>
      </c>
      <c r="V2502">
        <v>0</v>
      </c>
      <c r="W2502" t="s">
        <v>3651</v>
      </c>
    </row>
    <row r="2503" spans="1:23" x14ac:dyDescent="0.25">
      <c r="H2503" t="s">
        <v>26</v>
      </c>
    </row>
    <row r="2504" spans="1:23" x14ac:dyDescent="0.25">
      <c r="A2504">
        <v>1249</v>
      </c>
      <c r="B2504">
        <v>116</v>
      </c>
      <c r="C2504" t="s">
        <v>3652</v>
      </c>
      <c r="D2504" t="s">
        <v>273</v>
      </c>
      <c r="E2504" t="s">
        <v>91</v>
      </c>
      <c r="F2504" t="s">
        <v>3653</v>
      </c>
      <c r="G2504" t="str">
        <f>"201405002179"</f>
        <v>201405002179</v>
      </c>
      <c r="H2504">
        <v>1100</v>
      </c>
      <c r="I2504">
        <v>150</v>
      </c>
      <c r="J2504">
        <v>0</v>
      </c>
      <c r="K2504">
        <v>0</v>
      </c>
      <c r="L2504">
        <v>0</v>
      </c>
      <c r="M2504">
        <v>0</v>
      </c>
      <c r="N2504">
        <v>0</v>
      </c>
      <c r="O2504">
        <v>0</v>
      </c>
      <c r="P2504">
        <v>0</v>
      </c>
      <c r="Q2504">
        <v>0</v>
      </c>
      <c r="R2504">
        <v>0</v>
      </c>
      <c r="S2504">
        <v>0</v>
      </c>
      <c r="T2504">
        <v>0</v>
      </c>
      <c r="V2504">
        <v>0</v>
      </c>
      <c r="W2504">
        <v>1250</v>
      </c>
    </row>
    <row r="2505" spans="1:23" x14ac:dyDescent="0.25">
      <c r="H2505">
        <v>703</v>
      </c>
    </row>
    <row r="2506" spans="1:23" x14ac:dyDescent="0.25">
      <c r="A2506">
        <v>1250</v>
      </c>
      <c r="B2506">
        <v>1580</v>
      </c>
      <c r="C2506" t="s">
        <v>3654</v>
      </c>
      <c r="D2506" t="s">
        <v>109</v>
      </c>
      <c r="E2506" t="s">
        <v>91</v>
      </c>
      <c r="F2506" t="s">
        <v>3655</v>
      </c>
      <c r="G2506" t="str">
        <f>"200912000257"</f>
        <v>200912000257</v>
      </c>
      <c r="H2506">
        <v>1100</v>
      </c>
      <c r="I2506">
        <v>150</v>
      </c>
      <c r="J2506">
        <v>0</v>
      </c>
      <c r="K2506">
        <v>0</v>
      </c>
      <c r="L2506">
        <v>0</v>
      </c>
      <c r="M2506">
        <v>0</v>
      </c>
      <c r="N2506">
        <v>0</v>
      </c>
      <c r="O2506">
        <v>0</v>
      </c>
      <c r="P2506">
        <v>0</v>
      </c>
      <c r="Q2506">
        <v>0</v>
      </c>
      <c r="R2506">
        <v>0</v>
      </c>
      <c r="S2506">
        <v>0</v>
      </c>
      <c r="T2506">
        <v>0</v>
      </c>
      <c r="V2506">
        <v>0</v>
      </c>
      <c r="W2506">
        <v>1250</v>
      </c>
    </row>
    <row r="2507" spans="1:23" x14ac:dyDescent="0.25">
      <c r="H2507">
        <v>703</v>
      </c>
    </row>
    <row r="2508" spans="1:23" x14ac:dyDescent="0.25">
      <c r="A2508">
        <v>1251</v>
      </c>
      <c r="B2508">
        <v>581</v>
      </c>
      <c r="C2508" t="s">
        <v>2415</v>
      </c>
      <c r="D2508" t="s">
        <v>3656</v>
      </c>
      <c r="E2508" t="s">
        <v>53</v>
      </c>
      <c r="F2508" t="s">
        <v>3657</v>
      </c>
      <c r="G2508" t="str">
        <f>"201511019312"</f>
        <v>201511019312</v>
      </c>
      <c r="H2508">
        <v>1100</v>
      </c>
      <c r="I2508">
        <v>150</v>
      </c>
      <c r="J2508">
        <v>0</v>
      </c>
      <c r="K2508">
        <v>0</v>
      </c>
      <c r="L2508">
        <v>0</v>
      </c>
      <c r="M2508">
        <v>0</v>
      </c>
      <c r="N2508">
        <v>0</v>
      </c>
      <c r="O2508">
        <v>0</v>
      </c>
      <c r="P2508">
        <v>0</v>
      </c>
      <c r="Q2508">
        <v>0</v>
      </c>
      <c r="R2508">
        <v>0</v>
      </c>
      <c r="S2508">
        <v>0</v>
      </c>
      <c r="T2508">
        <v>0</v>
      </c>
      <c r="V2508">
        <v>0</v>
      </c>
      <c r="W2508">
        <v>1250</v>
      </c>
    </row>
    <row r="2509" spans="1:23" x14ac:dyDescent="0.25">
      <c r="H2509">
        <v>703</v>
      </c>
    </row>
    <row r="2510" spans="1:23" x14ac:dyDescent="0.25">
      <c r="A2510">
        <v>1252</v>
      </c>
      <c r="B2510">
        <v>2370</v>
      </c>
      <c r="C2510" t="s">
        <v>3658</v>
      </c>
      <c r="D2510" t="s">
        <v>1472</v>
      </c>
      <c r="E2510" t="s">
        <v>15</v>
      </c>
      <c r="F2510" t="s">
        <v>3659</v>
      </c>
      <c r="G2510" t="str">
        <f>"200801000970"</f>
        <v>200801000970</v>
      </c>
      <c r="H2510">
        <v>1100</v>
      </c>
      <c r="I2510">
        <v>150</v>
      </c>
      <c r="J2510">
        <v>0</v>
      </c>
      <c r="K2510">
        <v>0</v>
      </c>
      <c r="L2510">
        <v>0</v>
      </c>
      <c r="M2510">
        <v>0</v>
      </c>
      <c r="N2510">
        <v>0</v>
      </c>
      <c r="O2510">
        <v>0</v>
      </c>
      <c r="P2510">
        <v>0</v>
      </c>
      <c r="Q2510">
        <v>0</v>
      </c>
      <c r="R2510">
        <v>0</v>
      </c>
      <c r="S2510">
        <v>0</v>
      </c>
      <c r="T2510">
        <v>0</v>
      </c>
      <c r="V2510">
        <v>0</v>
      </c>
      <c r="W2510">
        <v>1250</v>
      </c>
    </row>
    <row r="2511" spans="1:23" x14ac:dyDescent="0.25">
      <c r="H2511">
        <v>703</v>
      </c>
    </row>
    <row r="2512" spans="1:23" x14ac:dyDescent="0.25">
      <c r="A2512">
        <v>1253</v>
      </c>
      <c r="B2512">
        <v>1258</v>
      </c>
      <c r="C2512" t="s">
        <v>3660</v>
      </c>
      <c r="D2512" t="s">
        <v>219</v>
      </c>
      <c r="E2512" t="s">
        <v>105</v>
      </c>
      <c r="F2512" t="s">
        <v>3661</v>
      </c>
      <c r="G2512" t="str">
        <f>"00203591"</f>
        <v>00203591</v>
      </c>
      <c r="H2512">
        <v>660</v>
      </c>
      <c r="I2512">
        <v>0</v>
      </c>
      <c r="J2512">
        <v>0</v>
      </c>
      <c r="K2512">
        <v>0</v>
      </c>
      <c r="L2512">
        <v>0</v>
      </c>
      <c r="M2512">
        <v>0</v>
      </c>
      <c r="N2512">
        <v>0</v>
      </c>
      <c r="O2512">
        <v>0</v>
      </c>
      <c r="P2512">
        <v>0</v>
      </c>
      <c r="Q2512">
        <v>0</v>
      </c>
      <c r="R2512">
        <v>84</v>
      </c>
      <c r="S2512">
        <v>588</v>
      </c>
      <c r="T2512">
        <v>0</v>
      </c>
      <c r="V2512">
        <v>0</v>
      </c>
      <c r="W2512">
        <v>1248</v>
      </c>
    </row>
    <row r="2513" spans="1:23" x14ac:dyDescent="0.25">
      <c r="H2513">
        <v>703</v>
      </c>
    </row>
    <row r="2514" spans="1:23" x14ac:dyDescent="0.25">
      <c r="A2514">
        <v>1254</v>
      </c>
      <c r="B2514">
        <v>663</v>
      </c>
      <c r="C2514" t="s">
        <v>3662</v>
      </c>
      <c r="D2514" t="s">
        <v>392</v>
      </c>
      <c r="E2514" t="s">
        <v>947</v>
      </c>
      <c r="F2514" t="s">
        <v>3663</v>
      </c>
      <c r="G2514" t="str">
        <f>"201604001045"</f>
        <v>201604001045</v>
      </c>
      <c r="H2514">
        <v>660</v>
      </c>
      <c r="I2514">
        <v>0</v>
      </c>
      <c r="J2514">
        <v>0</v>
      </c>
      <c r="K2514">
        <v>0</v>
      </c>
      <c r="L2514">
        <v>0</v>
      </c>
      <c r="M2514">
        <v>0</v>
      </c>
      <c r="N2514">
        <v>0</v>
      </c>
      <c r="O2514">
        <v>0</v>
      </c>
      <c r="P2514">
        <v>0</v>
      </c>
      <c r="Q2514">
        <v>0</v>
      </c>
      <c r="R2514">
        <v>84</v>
      </c>
      <c r="S2514">
        <v>588</v>
      </c>
      <c r="T2514">
        <v>0</v>
      </c>
      <c r="V2514">
        <v>0</v>
      </c>
      <c r="W2514">
        <v>1248</v>
      </c>
    </row>
    <row r="2515" spans="1:23" x14ac:dyDescent="0.25">
      <c r="H2515">
        <v>703</v>
      </c>
    </row>
    <row r="2516" spans="1:23" x14ac:dyDescent="0.25">
      <c r="A2516">
        <v>1255</v>
      </c>
      <c r="B2516">
        <v>2327</v>
      </c>
      <c r="C2516" t="s">
        <v>3664</v>
      </c>
      <c r="D2516" t="s">
        <v>2612</v>
      </c>
      <c r="E2516" t="s">
        <v>21</v>
      </c>
      <c r="F2516" t="s">
        <v>3665</v>
      </c>
      <c r="G2516" t="str">
        <f>"00224376"</f>
        <v>00224376</v>
      </c>
      <c r="H2516">
        <v>1100</v>
      </c>
      <c r="I2516">
        <v>0</v>
      </c>
      <c r="J2516">
        <v>0</v>
      </c>
      <c r="K2516">
        <v>0</v>
      </c>
      <c r="L2516">
        <v>0</v>
      </c>
      <c r="M2516">
        <v>0</v>
      </c>
      <c r="N2516">
        <v>0</v>
      </c>
      <c r="O2516">
        <v>0</v>
      </c>
      <c r="P2516">
        <v>0</v>
      </c>
      <c r="Q2516">
        <v>0</v>
      </c>
      <c r="R2516">
        <v>21</v>
      </c>
      <c r="S2516">
        <v>147</v>
      </c>
      <c r="T2516">
        <v>0</v>
      </c>
      <c r="V2516">
        <v>0</v>
      </c>
      <c r="W2516">
        <v>1247</v>
      </c>
    </row>
    <row r="2517" spans="1:23" x14ac:dyDescent="0.25">
      <c r="H2517">
        <v>703</v>
      </c>
    </row>
    <row r="2518" spans="1:23" x14ac:dyDescent="0.25">
      <c r="A2518">
        <v>1256</v>
      </c>
      <c r="B2518">
        <v>2242</v>
      </c>
      <c r="C2518" t="s">
        <v>3666</v>
      </c>
      <c r="D2518" t="s">
        <v>53</v>
      </c>
      <c r="E2518" t="s">
        <v>478</v>
      </c>
      <c r="F2518" t="s">
        <v>3667</v>
      </c>
      <c r="G2518" t="str">
        <f>"00045112"</f>
        <v>00045112</v>
      </c>
      <c r="H2518" t="s">
        <v>217</v>
      </c>
      <c r="I2518">
        <v>0</v>
      </c>
      <c r="J2518">
        <v>70</v>
      </c>
      <c r="K2518">
        <v>0</v>
      </c>
      <c r="L2518">
        <v>50</v>
      </c>
      <c r="M2518">
        <v>0</v>
      </c>
      <c r="N2518">
        <v>0</v>
      </c>
      <c r="O2518">
        <v>0</v>
      </c>
      <c r="P2518">
        <v>0</v>
      </c>
      <c r="Q2518">
        <v>0</v>
      </c>
      <c r="R2518">
        <v>25</v>
      </c>
      <c r="S2518">
        <v>175</v>
      </c>
      <c r="T2518">
        <v>0</v>
      </c>
      <c r="V2518">
        <v>0</v>
      </c>
      <c r="W2518" t="s">
        <v>3668</v>
      </c>
    </row>
    <row r="2519" spans="1:23" x14ac:dyDescent="0.25">
      <c r="H2519" t="s">
        <v>70</v>
      </c>
    </row>
    <row r="2520" spans="1:23" x14ac:dyDescent="0.25">
      <c r="A2520">
        <v>1257</v>
      </c>
      <c r="B2520">
        <v>1504</v>
      </c>
      <c r="C2520" t="s">
        <v>2202</v>
      </c>
      <c r="D2520" t="s">
        <v>227</v>
      </c>
      <c r="E2520" t="s">
        <v>21</v>
      </c>
      <c r="F2520" t="s">
        <v>3669</v>
      </c>
      <c r="G2520" t="str">
        <f>"201504000426"</f>
        <v>201504000426</v>
      </c>
      <c r="H2520" t="s">
        <v>1212</v>
      </c>
      <c r="I2520">
        <v>0</v>
      </c>
      <c r="J2520">
        <v>70</v>
      </c>
      <c r="K2520">
        <v>0</v>
      </c>
      <c r="L2520">
        <v>0</v>
      </c>
      <c r="M2520">
        <v>0</v>
      </c>
      <c r="N2520">
        <v>0</v>
      </c>
      <c r="O2520">
        <v>0</v>
      </c>
      <c r="P2520">
        <v>0</v>
      </c>
      <c r="Q2520">
        <v>0</v>
      </c>
      <c r="R2520">
        <v>51</v>
      </c>
      <c r="S2520">
        <v>357</v>
      </c>
      <c r="T2520">
        <v>0</v>
      </c>
      <c r="V2520">
        <v>0</v>
      </c>
      <c r="W2520" t="s">
        <v>3668</v>
      </c>
    </row>
    <row r="2521" spans="1:23" x14ac:dyDescent="0.25">
      <c r="H2521">
        <v>703</v>
      </c>
    </row>
    <row r="2522" spans="1:23" x14ac:dyDescent="0.25">
      <c r="A2522">
        <v>1258</v>
      </c>
      <c r="B2522">
        <v>2469</v>
      </c>
      <c r="C2522" t="s">
        <v>3670</v>
      </c>
      <c r="D2522" t="s">
        <v>3671</v>
      </c>
      <c r="E2522" t="s">
        <v>3672</v>
      </c>
      <c r="F2522">
        <v>23632659</v>
      </c>
      <c r="G2522" t="str">
        <f>"00153555"</f>
        <v>00153555</v>
      </c>
      <c r="H2522">
        <v>990</v>
      </c>
      <c r="I2522">
        <v>0</v>
      </c>
      <c r="J2522">
        <v>50</v>
      </c>
      <c r="K2522">
        <v>0</v>
      </c>
      <c r="L2522">
        <v>0</v>
      </c>
      <c r="M2522">
        <v>0</v>
      </c>
      <c r="N2522">
        <v>0</v>
      </c>
      <c r="O2522">
        <v>30</v>
      </c>
      <c r="P2522">
        <v>50</v>
      </c>
      <c r="Q2522">
        <v>70</v>
      </c>
      <c r="R2522">
        <v>8</v>
      </c>
      <c r="S2522">
        <v>56</v>
      </c>
      <c r="T2522">
        <v>0</v>
      </c>
      <c r="V2522">
        <v>0</v>
      </c>
      <c r="W2522">
        <v>1246</v>
      </c>
    </row>
    <row r="2523" spans="1:23" x14ac:dyDescent="0.25">
      <c r="H2523">
        <v>703</v>
      </c>
    </row>
    <row r="2524" spans="1:23" x14ac:dyDescent="0.25">
      <c r="A2524">
        <v>1259</v>
      </c>
      <c r="B2524">
        <v>3050</v>
      </c>
      <c r="C2524" t="s">
        <v>3673</v>
      </c>
      <c r="D2524" t="s">
        <v>67</v>
      </c>
      <c r="E2524" t="s">
        <v>41</v>
      </c>
      <c r="F2524" t="s">
        <v>3674</v>
      </c>
      <c r="G2524" t="str">
        <f>"00226456"</f>
        <v>00226456</v>
      </c>
      <c r="H2524">
        <v>825</v>
      </c>
      <c r="I2524">
        <v>0</v>
      </c>
      <c r="J2524">
        <v>0</v>
      </c>
      <c r="K2524">
        <v>0</v>
      </c>
      <c r="L2524">
        <v>0</v>
      </c>
      <c r="M2524">
        <v>0</v>
      </c>
      <c r="N2524">
        <v>0</v>
      </c>
      <c r="O2524">
        <v>0</v>
      </c>
      <c r="P2524">
        <v>0</v>
      </c>
      <c r="Q2524">
        <v>0</v>
      </c>
      <c r="R2524">
        <v>60</v>
      </c>
      <c r="S2524">
        <v>420</v>
      </c>
      <c r="T2524">
        <v>0</v>
      </c>
      <c r="V2524">
        <v>0</v>
      </c>
      <c r="W2524">
        <v>1245</v>
      </c>
    </row>
    <row r="2525" spans="1:23" x14ac:dyDescent="0.25">
      <c r="H2525">
        <v>703</v>
      </c>
    </row>
    <row r="2526" spans="1:23" x14ac:dyDescent="0.25">
      <c r="A2526">
        <v>1260</v>
      </c>
      <c r="B2526">
        <v>754</v>
      </c>
      <c r="C2526" t="s">
        <v>3675</v>
      </c>
      <c r="D2526" t="s">
        <v>28</v>
      </c>
      <c r="E2526" t="s">
        <v>21</v>
      </c>
      <c r="F2526" t="s">
        <v>3676</v>
      </c>
      <c r="G2526" t="str">
        <f>"00228597"</f>
        <v>00228597</v>
      </c>
      <c r="H2526" t="s">
        <v>17</v>
      </c>
      <c r="I2526">
        <v>150</v>
      </c>
      <c r="J2526">
        <v>0</v>
      </c>
      <c r="K2526">
        <v>0</v>
      </c>
      <c r="L2526">
        <v>0</v>
      </c>
      <c r="M2526">
        <v>0</v>
      </c>
      <c r="N2526">
        <v>0</v>
      </c>
      <c r="O2526">
        <v>0</v>
      </c>
      <c r="P2526">
        <v>0</v>
      </c>
      <c r="Q2526">
        <v>0</v>
      </c>
      <c r="R2526">
        <v>0</v>
      </c>
      <c r="S2526">
        <v>0</v>
      </c>
      <c r="T2526">
        <v>0</v>
      </c>
      <c r="V2526">
        <v>0</v>
      </c>
      <c r="W2526" t="s">
        <v>3677</v>
      </c>
    </row>
    <row r="2527" spans="1:23" x14ac:dyDescent="0.25">
      <c r="H2527" t="s">
        <v>3678</v>
      </c>
    </row>
    <row r="2528" spans="1:23" x14ac:dyDescent="0.25">
      <c r="A2528">
        <v>1261</v>
      </c>
      <c r="B2528">
        <v>849</v>
      </c>
      <c r="C2528" t="s">
        <v>3679</v>
      </c>
      <c r="D2528" t="s">
        <v>155</v>
      </c>
      <c r="E2528" t="s">
        <v>91</v>
      </c>
      <c r="F2528" t="s">
        <v>3680</v>
      </c>
      <c r="G2528" t="str">
        <f>"201511034035"</f>
        <v>201511034035</v>
      </c>
      <c r="H2528" t="s">
        <v>17</v>
      </c>
      <c r="I2528">
        <v>150</v>
      </c>
      <c r="J2528">
        <v>0</v>
      </c>
      <c r="K2528">
        <v>0</v>
      </c>
      <c r="L2528">
        <v>0</v>
      </c>
      <c r="M2528">
        <v>0</v>
      </c>
      <c r="N2528">
        <v>0</v>
      </c>
      <c r="O2528">
        <v>0</v>
      </c>
      <c r="P2528">
        <v>0</v>
      </c>
      <c r="Q2528">
        <v>0</v>
      </c>
      <c r="R2528">
        <v>0</v>
      </c>
      <c r="S2528">
        <v>0</v>
      </c>
      <c r="T2528">
        <v>0</v>
      </c>
      <c r="V2528">
        <v>0</v>
      </c>
      <c r="W2528" t="s">
        <v>3677</v>
      </c>
    </row>
    <row r="2529" spans="1:23" x14ac:dyDescent="0.25">
      <c r="H2529" t="s">
        <v>2316</v>
      </c>
    </row>
    <row r="2530" spans="1:23" x14ac:dyDescent="0.25">
      <c r="A2530">
        <v>1262</v>
      </c>
      <c r="B2530">
        <v>2378</v>
      </c>
      <c r="C2530" t="s">
        <v>3681</v>
      </c>
      <c r="D2530" t="s">
        <v>32</v>
      </c>
      <c r="E2530" t="s">
        <v>58</v>
      </c>
      <c r="F2530" t="s">
        <v>3682</v>
      </c>
      <c r="G2530" t="str">
        <f>"200811001208"</f>
        <v>200811001208</v>
      </c>
      <c r="H2530" t="s">
        <v>17</v>
      </c>
      <c r="I2530">
        <v>150</v>
      </c>
      <c r="J2530">
        <v>0</v>
      </c>
      <c r="K2530">
        <v>0</v>
      </c>
      <c r="L2530">
        <v>0</v>
      </c>
      <c r="M2530">
        <v>0</v>
      </c>
      <c r="N2530">
        <v>0</v>
      </c>
      <c r="O2530">
        <v>0</v>
      </c>
      <c r="P2530">
        <v>0</v>
      </c>
      <c r="Q2530">
        <v>0</v>
      </c>
      <c r="R2530">
        <v>0</v>
      </c>
      <c r="S2530">
        <v>0</v>
      </c>
      <c r="T2530">
        <v>0</v>
      </c>
      <c r="V2530">
        <v>0</v>
      </c>
      <c r="W2530" t="s">
        <v>3677</v>
      </c>
    </row>
    <row r="2531" spans="1:23" x14ac:dyDescent="0.25">
      <c r="H2531">
        <v>703</v>
      </c>
    </row>
    <row r="2532" spans="1:23" x14ac:dyDescent="0.25">
      <c r="A2532">
        <v>1263</v>
      </c>
      <c r="B2532">
        <v>686</v>
      </c>
      <c r="C2532" t="s">
        <v>3683</v>
      </c>
      <c r="D2532" t="s">
        <v>3684</v>
      </c>
      <c r="E2532" t="s">
        <v>53</v>
      </c>
      <c r="F2532" t="s">
        <v>3685</v>
      </c>
      <c r="G2532" t="str">
        <f>"00224295"</f>
        <v>00224295</v>
      </c>
      <c r="H2532" t="s">
        <v>17</v>
      </c>
      <c r="I2532">
        <v>150</v>
      </c>
      <c r="J2532">
        <v>0</v>
      </c>
      <c r="K2532">
        <v>0</v>
      </c>
      <c r="L2532">
        <v>0</v>
      </c>
      <c r="M2532">
        <v>0</v>
      </c>
      <c r="N2532">
        <v>0</v>
      </c>
      <c r="O2532">
        <v>0</v>
      </c>
      <c r="P2532">
        <v>0</v>
      </c>
      <c r="Q2532">
        <v>0</v>
      </c>
      <c r="R2532">
        <v>0</v>
      </c>
      <c r="S2532">
        <v>0</v>
      </c>
      <c r="T2532">
        <v>0</v>
      </c>
      <c r="V2532">
        <v>0</v>
      </c>
      <c r="W2532" t="s">
        <v>3677</v>
      </c>
    </row>
    <row r="2533" spans="1:23" x14ac:dyDescent="0.25">
      <c r="H2533">
        <v>703</v>
      </c>
    </row>
    <row r="2534" spans="1:23" x14ac:dyDescent="0.25">
      <c r="A2534">
        <v>1264</v>
      </c>
      <c r="B2534">
        <v>388</v>
      </c>
      <c r="C2534" t="s">
        <v>3686</v>
      </c>
      <c r="D2534" t="s">
        <v>20</v>
      </c>
      <c r="E2534" t="s">
        <v>99</v>
      </c>
      <c r="F2534" t="s">
        <v>3687</v>
      </c>
      <c r="G2534" t="str">
        <f>"201511030772"</f>
        <v>201511030772</v>
      </c>
      <c r="H2534" t="s">
        <v>1316</v>
      </c>
      <c r="I2534">
        <v>0</v>
      </c>
      <c r="J2534">
        <v>0</v>
      </c>
      <c r="K2534">
        <v>0</v>
      </c>
      <c r="L2534">
        <v>0</v>
      </c>
      <c r="M2534">
        <v>0</v>
      </c>
      <c r="N2534">
        <v>0</v>
      </c>
      <c r="O2534">
        <v>0</v>
      </c>
      <c r="P2534">
        <v>0</v>
      </c>
      <c r="Q2534">
        <v>0</v>
      </c>
      <c r="R2534">
        <v>31</v>
      </c>
      <c r="S2534">
        <v>217</v>
      </c>
      <c r="T2534">
        <v>0</v>
      </c>
      <c r="V2534">
        <v>0</v>
      </c>
      <c r="W2534" t="s">
        <v>3688</v>
      </c>
    </row>
    <row r="2535" spans="1:23" x14ac:dyDescent="0.25">
      <c r="H2535" t="s">
        <v>3689</v>
      </c>
    </row>
    <row r="2536" spans="1:23" x14ac:dyDescent="0.25">
      <c r="A2536">
        <v>1265</v>
      </c>
      <c r="B2536">
        <v>1042</v>
      </c>
      <c r="C2536" t="s">
        <v>3690</v>
      </c>
      <c r="D2536" t="s">
        <v>392</v>
      </c>
      <c r="E2536" t="s">
        <v>303</v>
      </c>
      <c r="F2536" t="s">
        <v>3691</v>
      </c>
      <c r="G2536" t="str">
        <f>"00023267"</f>
        <v>00023267</v>
      </c>
      <c r="H2536">
        <v>1034</v>
      </c>
      <c r="I2536">
        <v>150</v>
      </c>
      <c r="J2536">
        <v>30</v>
      </c>
      <c r="K2536">
        <v>0</v>
      </c>
      <c r="L2536">
        <v>0</v>
      </c>
      <c r="M2536">
        <v>30</v>
      </c>
      <c r="N2536">
        <v>0</v>
      </c>
      <c r="O2536">
        <v>0</v>
      </c>
      <c r="P2536">
        <v>0</v>
      </c>
      <c r="Q2536">
        <v>0</v>
      </c>
      <c r="R2536">
        <v>0</v>
      </c>
      <c r="S2536">
        <v>0</v>
      </c>
      <c r="T2536">
        <v>0</v>
      </c>
      <c r="V2536">
        <v>0</v>
      </c>
      <c r="W2536">
        <v>1244</v>
      </c>
    </row>
    <row r="2537" spans="1:23" x14ac:dyDescent="0.25">
      <c r="H2537" t="s">
        <v>26</v>
      </c>
    </row>
    <row r="2538" spans="1:23" x14ac:dyDescent="0.25">
      <c r="A2538">
        <v>1266</v>
      </c>
      <c r="B2538">
        <v>2441</v>
      </c>
      <c r="C2538" t="s">
        <v>2229</v>
      </c>
      <c r="D2538" t="s">
        <v>344</v>
      </c>
      <c r="E2538" t="s">
        <v>105</v>
      </c>
      <c r="F2538" t="s">
        <v>3692</v>
      </c>
      <c r="G2538" t="str">
        <f>"00103422"</f>
        <v>00103422</v>
      </c>
      <c r="H2538" t="s">
        <v>458</v>
      </c>
      <c r="I2538">
        <v>0</v>
      </c>
      <c r="J2538">
        <v>30</v>
      </c>
      <c r="K2538">
        <v>50</v>
      </c>
      <c r="L2538">
        <v>0</v>
      </c>
      <c r="M2538">
        <v>0</v>
      </c>
      <c r="N2538">
        <v>0</v>
      </c>
      <c r="O2538">
        <v>0</v>
      </c>
      <c r="P2538">
        <v>0</v>
      </c>
      <c r="Q2538">
        <v>0</v>
      </c>
      <c r="R2538">
        <v>27</v>
      </c>
      <c r="S2538">
        <v>189</v>
      </c>
      <c r="T2538">
        <v>0</v>
      </c>
      <c r="V2538">
        <v>0</v>
      </c>
      <c r="W2538" t="s">
        <v>3693</v>
      </c>
    </row>
    <row r="2539" spans="1:23" x14ac:dyDescent="0.25">
      <c r="H2539" t="s">
        <v>70</v>
      </c>
    </row>
    <row r="2540" spans="1:23" x14ac:dyDescent="0.25">
      <c r="A2540">
        <v>1267</v>
      </c>
      <c r="B2540">
        <v>1779</v>
      </c>
      <c r="C2540" t="s">
        <v>3694</v>
      </c>
      <c r="D2540" t="s">
        <v>20</v>
      </c>
      <c r="E2540" t="s">
        <v>76</v>
      </c>
      <c r="F2540" t="s">
        <v>3695</v>
      </c>
      <c r="G2540" t="str">
        <f>"00225060"</f>
        <v>00225060</v>
      </c>
      <c r="H2540" t="s">
        <v>3696</v>
      </c>
      <c r="I2540">
        <v>0</v>
      </c>
      <c r="J2540">
        <v>0</v>
      </c>
      <c r="K2540">
        <v>0</v>
      </c>
      <c r="L2540">
        <v>0</v>
      </c>
      <c r="M2540">
        <v>0</v>
      </c>
      <c r="N2540">
        <v>0</v>
      </c>
      <c r="O2540">
        <v>0</v>
      </c>
      <c r="P2540">
        <v>0</v>
      </c>
      <c r="Q2540">
        <v>0</v>
      </c>
      <c r="R2540">
        <v>41</v>
      </c>
      <c r="S2540">
        <v>287</v>
      </c>
      <c r="T2540">
        <v>0</v>
      </c>
      <c r="V2540">
        <v>0</v>
      </c>
      <c r="W2540" t="s">
        <v>3697</v>
      </c>
    </row>
    <row r="2541" spans="1:23" x14ac:dyDescent="0.25">
      <c r="H2541">
        <v>703</v>
      </c>
    </row>
    <row r="2542" spans="1:23" x14ac:dyDescent="0.25">
      <c r="A2542">
        <v>1268</v>
      </c>
      <c r="B2542">
        <v>1725</v>
      </c>
      <c r="C2542" t="s">
        <v>3698</v>
      </c>
      <c r="D2542" t="s">
        <v>140</v>
      </c>
      <c r="E2542" t="s">
        <v>3699</v>
      </c>
      <c r="F2542" t="s">
        <v>3700</v>
      </c>
      <c r="G2542" t="str">
        <f>"201111000099"</f>
        <v>201111000099</v>
      </c>
      <c r="H2542">
        <v>990</v>
      </c>
      <c r="I2542">
        <v>150</v>
      </c>
      <c r="J2542">
        <v>70</v>
      </c>
      <c r="K2542">
        <v>0</v>
      </c>
      <c r="L2542">
        <v>30</v>
      </c>
      <c r="M2542">
        <v>0</v>
      </c>
      <c r="N2542">
        <v>0</v>
      </c>
      <c r="O2542">
        <v>0</v>
      </c>
      <c r="P2542">
        <v>0</v>
      </c>
      <c r="Q2542">
        <v>0</v>
      </c>
      <c r="R2542">
        <v>0</v>
      </c>
      <c r="S2542">
        <v>0</v>
      </c>
      <c r="T2542">
        <v>0</v>
      </c>
      <c r="V2542">
        <v>0</v>
      </c>
      <c r="W2542">
        <v>1240</v>
      </c>
    </row>
    <row r="2543" spans="1:23" x14ac:dyDescent="0.25">
      <c r="H2543" t="s">
        <v>26</v>
      </c>
    </row>
    <row r="2544" spans="1:23" x14ac:dyDescent="0.25">
      <c r="A2544">
        <v>1269</v>
      </c>
      <c r="B2544">
        <v>684</v>
      </c>
      <c r="C2544" t="s">
        <v>3701</v>
      </c>
      <c r="D2544" t="s">
        <v>258</v>
      </c>
      <c r="E2544" t="s">
        <v>62</v>
      </c>
      <c r="F2544" t="s">
        <v>3702</v>
      </c>
      <c r="G2544" t="str">
        <f>"201402003015"</f>
        <v>201402003015</v>
      </c>
      <c r="H2544" t="s">
        <v>305</v>
      </c>
      <c r="I2544">
        <v>0</v>
      </c>
      <c r="J2544">
        <v>0</v>
      </c>
      <c r="K2544">
        <v>0</v>
      </c>
      <c r="L2544">
        <v>0</v>
      </c>
      <c r="M2544">
        <v>0</v>
      </c>
      <c r="N2544">
        <v>0</v>
      </c>
      <c r="O2544">
        <v>0</v>
      </c>
      <c r="P2544">
        <v>0</v>
      </c>
      <c r="Q2544">
        <v>0</v>
      </c>
      <c r="R2544">
        <v>25</v>
      </c>
      <c r="S2544">
        <v>175</v>
      </c>
      <c r="T2544">
        <v>0</v>
      </c>
      <c r="V2544">
        <v>1</v>
      </c>
      <c r="W2544" t="s">
        <v>3703</v>
      </c>
    </row>
    <row r="2545" spans="1:23" x14ac:dyDescent="0.25">
      <c r="H2545" t="s">
        <v>3704</v>
      </c>
    </row>
    <row r="2546" spans="1:23" x14ac:dyDescent="0.25">
      <c r="A2546">
        <v>1270</v>
      </c>
      <c r="B2546">
        <v>2404</v>
      </c>
      <c r="C2546" t="s">
        <v>3705</v>
      </c>
      <c r="D2546" t="s">
        <v>432</v>
      </c>
      <c r="E2546" t="s">
        <v>105</v>
      </c>
      <c r="F2546" t="s">
        <v>3706</v>
      </c>
      <c r="G2546" t="str">
        <f>"00173720"</f>
        <v>00173720</v>
      </c>
      <c r="H2546">
        <v>1089</v>
      </c>
      <c r="I2546">
        <v>150</v>
      </c>
      <c r="J2546">
        <v>0</v>
      </c>
      <c r="K2546">
        <v>0</v>
      </c>
      <c r="L2546">
        <v>0</v>
      </c>
      <c r="M2546">
        <v>0</v>
      </c>
      <c r="N2546">
        <v>0</v>
      </c>
      <c r="O2546">
        <v>0</v>
      </c>
      <c r="P2546">
        <v>0</v>
      </c>
      <c r="Q2546">
        <v>0</v>
      </c>
      <c r="R2546">
        <v>0</v>
      </c>
      <c r="S2546">
        <v>0</v>
      </c>
      <c r="T2546">
        <v>0</v>
      </c>
      <c r="V2546">
        <v>0</v>
      </c>
      <c r="W2546">
        <v>1239</v>
      </c>
    </row>
    <row r="2547" spans="1:23" x14ac:dyDescent="0.25">
      <c r="H2547">
        <v>703</v>
      </c>
    </row>
    <row r="2548" spans="1:23" x14ac:dyDescent="0.25">
      <c r="A2548">
        <v>1271</v>
      </c>
      <c r="B2548">
        <v>703</v>
      </c>
      <c r="C2548" t="s">
        <v>3707</v>
      </c>
      <c r="D2548" t="s">
        <v>36</v>
      </c>
      <c r="E2548" t="s">
        <v>3708</v>
      </c>
      <c r="F2548" t="s">
        <v>3709</v>
      </c>
      <c r="G2548" t="str">
        <f>"201405000274"</f>
        <v>201405000274</v>
      </c>
      <c r="H2548" t="s">
        <v>245</v>
      </c>
      <c r="I2548">
        <v>0</v>
      </c>
      <c r="J2548">
        <v>30</v>
      </c>
      <c r="K2548">
        <v>0</v>
      </c>
      <c r="L2548">
        <v>0</v>
      </c>
      <c r="M2548">
        <v>0</v>
      </c>
      <c r="N2548">
        <v>70</v>
      </c>
      <c r="O2548">
        <v>0</v>
      </c>
      <c r="P2548">
        <v>0</v>
      </c>
      <c r="Q2548">
        <v>0</v>
      </c>
      <c r="R2548">
        <v>16</v>
      </c>
      <c r="S2548">
        <v>112</v>
      </c>
      <c r="T2548">
        <v>0</v>
      </c>
      <c r="V2548">
        <v>0</v>
      </c>
      <c r="W2548" t="s">
        <v>3710</v>
      </c>
    </row>
    <row r="2549" spans="1:23" x14ac:dyDescent="0.25">
      <c r="H2549" t="s">
        <v>70</v>
      </c>
    </row>
    <row r="2550" spans="1:23" x14ac:dyDescent="0.25">
      <c r="A2550">
        <v>1272</v>
      </c>
      <c r="B2550">
        <v>2033</v>
      </c>
      <c r="C2550" t="s">
        <v>3711</v>
      </c>
      <c r="D2550" t="s">
        <v>556</v>
      </c>
      <c r="E2550" t="s">
        <v>41</v>
      </c>
      <c r="F2550" t="s">
        <v>3712</v>
      </c>
      <c r="G2550" t="str">
        <f>"201511008416"</f>
        <v>201511008416</v>
      </c>
      <c r="H2550" t="s">
        <v>191</v>
      </c>
      <c r="I2550">
        <v>150</v>
      </c>
      <c r="J2550">
        <v>30</v>
      </c>
      <c r="K2550">
        <v>0</v>
      </c>
      <c r="L2550">
        <v>0</v>
      </c>
      <c r="M2550">
        <v>0</v>
      </c>
      <c r="N2550">
        <v>0</v>
      </c>
      <c r="O2550">
        <v>0</v>
      </c>
      <c r="P2550">
        <v>0</v>
      </c>
      <c r="Q2550">
        <v>0</v>
      </c>
      <c r="R2550">
        <v>0</v>
      </c>
      <c r="S2550">
        <v>0</v>
      </c>
      <c r="T2550">
        <v>0</v>
      </c>
      <c r="V2550">
        <v>0</v>
      </c>
      <c r="W2550" t="s">
        <v>3713</v>
      </c>
    </row>
    <row r="2551" spans="1:23" x14ac:dyDescent="0.25">
      <c r="H2551">
        <v>703</v>
      </c>
    </row>
    <row r="2552" spans="1:23" x14ac:dyDescent="0.25">
      <c r="A2552">
        <v>1273</v>
      </c>
      <c r="B2552">
        <v>2274</v>
      </c>
      <c r="C2552" t="s">
        <v>3714</v>
      </c>
      <c r="D2552" t="s">
        <v>3715</v>
      </c>
      <c r="E2552" t="s">
        <v>109</v>
      </c>
      <c r="F2552" t="s">
        <v>3716</v>
      </c>
      <c r="G2552" t="str">
        <f>"00011825"</f>
        <v>00011825</v>
      </c>
      <c r="H2552">
        <v>990</v>
      </c>
      <c r="I2552">
        <v>150</v>
      </c>
      <c r="J2552">
        <v>70</v>
      </c>
      <c r="K2552">
        <v>0</v>
      </c>
      <c r="L2552">
        <v>0</v>
      </c>
      <c r="M2552">
        <v>0</v>
      </c>
      <c r="N2552">
        <v>0</v>
      </c>
      <c r="O2552">
        <v>0</v>
      </c>
      <c r="P2552">
        <v>0</v>
      </c>
      <c r="Q2552">
        <v>0</v>
      </c>
      <c r="R2552">
        <v>4</v>
      </c>
      <c r="S2552">
        <v>28</v>
      </c>
      <c r="T2552">
        <v>0</v>
      </c>
      <c r="V2552">
        <v>0</v>
      </c>
      <c r="W2552">
        <v>1238</v>
      </c>
    </row>
    <row r="2553" spans="1:23" x14ac:dyDescent="0.25">
      <c r="H2553" t="s">
        <v>70</v>
      </c>
    </row>
    <row r="2554" spans="1:23" x14ac:dyDescent="0.25">
      <c r="A2554">
        <v>1274</v>
      </c>
      <c r="B2554">
        <v>367</v>
      </c>
      <c r="C2554" t="s">
        <v>3717</v>
      </c>
      <c r="D2554" t="s">
        <v>57</v>
      </c>
      <c r="E2554" t="s">
        <v>2050</v>
      </c>
      <c r="F2554" t="s">
        <v>3718</v>
      </c>
      <c r="G2554" t="str">
        <f>"00020797"</f>
        <v>00020797</v>
      </c>
      <c r="H2554">
        <v>869</v>
      </c>
      <c r="I2554">
        <v>150</v>
      </c>
      <c r="J2554">
        <v>30</v>
      </c>
      <c r="K2554">
        <v>0</v>
      </c>
      <c r="L2554">
        <v>0</v>
      </c>
      <c r="M2554">
        <v>0</v>
      </c>
      <c r="N2554">
        <v>0</v>
      </c>
      <c r="O2554">
        <v>0</v>
      </c>
      <c r="P2554">
        <v>0</v>
      </c>
      <c r="Q2554">
        <v>0</v>
      </c>
      <c r="R2554">
        <v>27</v>
      </c>
      <c r="S2554">
        <v>189</v>
      </c>
      <c r="T2554">
        <v>0</v>
      </c>
      <c r="V2554">
        <v>0</v>
      </c>
      <c r="W2554">
        <v>1238</v>
      </c>
    </row>
    <row r="2555" spans="1:23" x14ac:dyDescent="0.25">
      <c r="H2555">
        <v>703</v>
      </c>
    </row>
    <row r="2556" spans="1:23" x14ac:dyDescent="0.25">
      <c r="A2556">
        <v>1275</v>
      </c>
      <c r="B2556">
        <v>1064</v>
      </c>
      <c r="C2556" t="s">
        <v>3719</v>
      </c>
      <c r="D2556" t="s">
        <v>3720</v>
      </c>
      <c r="E2556" t="s">
        <v>752</v>
      </c>
      <c r="F2556" t="s">
        <v>3721</v>
      </c>
      <c r="G2556" t="str">
        <f>"201511023692"</f>
        <v>201511023692</v>
      </c>
      <c r="H2556">
        <v>550</v>
      </c>
      <c r="I2556">
        <v>0</v>
      </c>
      <c r="J2556">
        <v>70</v>
      </c>
      <c r="K2556">
        <v>30</v>
      </c>
      <c r="L2556">
        <v>0</v>
      </c>
      <c r="M2556">
        <v>0</v>
      </c>
      <c r="N2556">
        <v>0</v>
      </c>
      <c r="O2556">
        <v>0</v>
      </c>
      <c r="P2556">
        <v>0</v>
      </c>
      <c r="Q2556">
        <v>0</v>
      </c>
      <c r="R2556">
        <v>84</v>
      </c>
      <c r="S2556">
        <v>588</v>
      </c>
      <c r="T2556">
        <v>0</v>
      </c>
      <c r="V2556">
        <v>0</v>
      </c>
      <c r="W2556">
        <v>1238</v>
      </c>
    </row>
    <row r="2557" spans="1:23" x14ac:dyDescent="0.25">
      <c r="H2557" t="s">
        <v>70</v>
      </c>
    </row>
    <row r="2558" spans="1:23" x14ac:dyDescent="0.25">
      <c r="A2558">
        <v>1276</v>
      </c>
      <c r="B2558">
        <v>1631</v>
      </c>
      <c r="C2558" t="s">
        <v>3722</v>
      </c>
      <c r="D2558" t="s">
        <v>3723</v>
      </c>
      <c r="E2558" t="s">
        <v>76</v>
      </c>
      <c r="F2558" t="s">
        <v>3724</v>
      </c>
      <c r="G2558" t="str">
        <f>"201402002752"</f>
        <v>201402002752</v>
      </c>
      <c r="H2558" t="s">
        <v>1377</v>
      </c>
      <c r="I2558">
        <v>0</v>
      </c>
      <c r="J2558">
        <v>30</v>
      </c>
      <c r="K2558">
        <v>0</v>
      </c>
      <c r="L2558">
        <v>0</v>
      </c>
      <c r="M2558">
        <v>0</v>
      </c>
      <c r="N2558">
        <v>0</v>
      </c>
      <c r="O2558">
        <v>0</v>
      </c>
      <c r="P2558">
        <v>0</v>
      </c>
      <c r="Q2558">
        <v>0</v>
      </c>
      <c r="R2558">
        <v>44</v>
      </c>
      <c r="S2558">
        <v>308</v>
      </c>
      <c r="T2558">
        <v>0</v>
      </c>
      <c r="V2558">
        <v>0</v>
      </c>
      <c r="W2558" t="s">
        <v>3725</v>
      </c>
    </row>
    <row r="2559" spans="1:23" x14ac:dyDescent="0.25">
      <c r="H2559">
        <v>703</v>
      </c>
    </row>
    <row r="2560" spans="1:23" x14ac:dyDescent="0.25">
      <c r="A2560">
        <v>1277</v>
      </c>
      <c r="B2560">
        <v>531</v>
      </c>
      <c r="C2560" t="s">
        <v>3726</v>
      </c>
      <c r="D2560" t="s">
        <v>41</v>
      </c>
      <c r="E2560" t="s">
        <v>76</v>
      </c>
      <c r="F2560" t="s">
        <v>3727</v>
      </c>
      <c r="G2560" t="str">
        <f>"201504000818"</f>
        <v>201504000818</v>
      </c>
      <c r="H2560" t="s">
        <v>385</v>
      </c>
      <c r="I2560">
        <v>150</v>
      </c>
      <c r="J2560">
        <v>70</v>
      </c>
      <c r="K2560">
        <v>0</v>
      </c>
      <c r="L2560">
        <v>0</v>
      </c>
      <c r="M2560">
        <v>0</v>
      </c>
      <c r="N2560">
        <v>0</v>
      </c>
      <c r="O2560">
        <v>0</v>
      </c>
      <c r="P2560">
        <v>0</v>
      </c>
      <c r="Q2560">
        <v>0</v>
      </c>
      <c r="R2560">
        <v>0</v>
      </c>
      <c r="S2560">
        <v>0</v>
      </c>
      <c r="T2560">
        <v>0</v>
      </c>
      <c r="V2560">
        <v>0</v>
      </c>
      <c r="W2560" t="s">
        <v>3728</v>
      </c>
    </row>
    <row r="2561" spans="1:23" x14ac:dyDescent="0.25">
      <c r="H2561">
        <v>703</v>
      </c>
    </row>
    <row r="2562" spans="1:23" x14ac:dyDescent="0.25">
      <c r="A2562">
        <v>1278</v>
      </c>
      <c r="B2562">
        <v>495</v>
      </c>
      <c r="C2562" t="s">
        <v>3729</v>
      </c>
      <c r="D2562" t="s">
        <v>767</v>
      </c>
      <c r="E2562" t="s">
        <v>53</v>
      </c>
      <c r="F2562" t="s">
        <v>3730</v>
      </c>
      <c r="G2562" t="str">
        <f>"201406010789"</f>
        <v>201406010789</v>
      </c>
      <c r="H2562" t="s">
        <v>3523</v>
      </c>
      <c r="I2562">
        <v>0</v>
      </c>
      <c r="J2562">
        <v>30</v>
      </c>
      <c r="K2562">
        <v>0</v>
      </c>
      <c r="L2562">
        <v>0</v>
      </c>
      <c r="M2562">
        <v>70</v>
      </c>
      <c r="N2562">
        <v>0</v>
      </c>
      <c r="O2562">
        <v>0</v>
      </c>
      <c r="P2562">
        <v>0</v>
      </c>
      <c r="Q2562">
        <v>0</v>
      </c>
      <c r="R2562">
        <v>49</v>
      </c>
      <c r="S2562">
        <v>343</v>
      </c>
      <c r="T2562">
        <v>0</v>
      </c>
      <c r="V2562">
        <v>0</v>
      </c>
      <c r="W2562" t="s">
        <v>3731</v>
      </c>
    </row>
    <row r="2563" spans="1:23" x14ac:dyDescent="0.25">
      <c r="H2563" t="s">
        <v>70</v>
      </c>
    </row>
    <row r="2564" spans="1:23" x14ac:dyDescent="0.25">
      <c r="A2564">
        <v>1279</v>
      </c>
      <c r="B2564">
        <v>212</v>
      </c>
      <c r="C2564" t="s">
        <v>3732</v>
      </c>
      <c r="D2564" t="s">
        <v>140</v>
      </c>
      <c r="E2564" t="s">
        <v>53</v>
      </c>
      <c r="F2564" t="s">
        <v>3733</v>
      </c>
      <c r="G2564" t="str">
        <f>"00228580"</f>
        <v>00228580</v>
      </c>
      <c r="H2564">
        <v>1067</v>
      </c>
      <c r="I2564">
        <v>0</v>
      </c>
      <c r="J2564">
        <v>70</v>
      </c>
      <c r="K2564">
        <v>50</v>
      </c>
      <c r="L2564">
        <v>0</v>
      </c>
      <c r="M2564">
        <v>0</v>
      </c>
      <c r="N2564">
        <v>0</v>
      </c>
      <c r="O2564">
        <v>0</v>
      </c>
      <c r="P2564">
        <v>0</v>
      </c>
      <c r="Q2564">
        <v>0</v>
      </c>
      <c r="R2564">
        <v>7</v>
      </c>
      <c r="S2564">
        <v>49</v>
      </c>
      <c r="T2564">
        <v>0</v>
      </c>
      <c r="V2564">
        <v>0</v>
      </c>
      <c r="W2564">
        <v>1236</v>
      </c>
    </row>
    <row r="2565" spans="1:23" x14ac:dyDescent="0.25">
      <c r="H2565" t="s">
        <v>26</v>
      </c>
    </row>
    <row r="2566" spans="1:23" x14ac:dyDescent="0.25">
      <c r="A2566">
        <v>1280</v>
      </c>
      <c r="B2566">
        <v>2190</v>
      </c>
      <c r="C2566" t="s">
        <v>103</v>
      </c>
      <c r="D2566" t="s">
        <v>3734</v>
      </c>
      <c r="E2566" t="s">
        <v>251</v>
      </c>
      <c r="F2566" t="s">
        <v>3735</v>
      </c>
      <c r="G2566" t="str">
        <f>"00163781"</f>
        <v>00163781</v>
      </c>
      <c r="H2566" t="s">
        <v>2585</v>
      </c>
      <c r="I2566">
        <v>0</v>
      </c>
      <c r="J2566">
        <v>0</v>
      </c>
      <c r="K2566">
        <v>0</v>
      </c>
      <c r="L2566">
        <v>0</v>
      </c>
      <c r="M2566">
        <v>0</v>
      </c>
      <c r="N2566">
        <v>0</v>
      </c>
      <c r="O2566">
        <v>0</v>
      </c>
      <c r="P2566">
        <v>0</v>
      </c>
      <c r="Q2566">
        <v>0</v>
      </c>
      <c r="R2566">
        <v>52</v>
      </c>
      <c r="S2566">
        <v>364</v>
      </c>
      <c r="T2566">
        <v>0</v>
      </c>
      <c r="V2566">
        <v>0</v>
      </c>
      <c r="W2566" t="s">
        <v>3736</v>
      </c>
    </row>
    <row r="2567" spans="1:23" x14ac:dyDescent="0.25">
      <c r="H2567">
        <v>703</v>
      </c>
    </row>
    <row r="2568" spans="1:23" x14ac:dyDescent="0.25">
      <c r="A2568">
        <v>1281</v>
      </c>
      <c r="B2568">
        <v>2778</v>
      </c>
      <c r="C2568" t="s">
        <v>3737</v>
      </c>
      <c r="D2568" t="s">
        <v>3738</v>
      </c>
      <c r="E2568" t="s">
        <v>3739</v>
      </c>
      <c r="F2568" t="s">
        <v>3740</v>
      </c>
      <c r="G2568" t="str">
        <f>"00162857"</f>
        <v>00162857</v>
      </c>
      <c r="H2568">
        <v>1067</v>
      </c>
      <c r="I2568">
        <v>0</v>
      </c>
      <c r="J2568">
        <v>0</v>
      </c>
      <c r="K2568">
        <v>0</v>
      </c>
      <c r="L2568">
        <v>0</v>
      </c>
      <c r="M2568">
        <v>0</v>
      </c>
      <c r="N2568">
        <v>0</v>
      </c>
      <c r="O2568">
        <v>0</v>
      </c>
      <c r="P2568">
        <v>0</v>
      </c>
      <c r="Q2568">
        <v>0</v>
      </c>
      <c r="R2568">
        <v>24</v>
      </c>
      <c r="S2568">
        <v>168</v>
      </c>
      <c r="T2568">
        <v>0</v>
      </c>
      <c r="V2568">
        <v>2</v>
      </c>
      <c r="W2568">
        <v>1235</v>
      </c>
    </row>
    <row r="2569" spans="1:23" x14ac:dyDescent="0.25">
      <c r="H2569">
        <v>703</v>
      </c>
    </row>
    <row r="2570" spans="1:23" x14ac:dyDescent="0.25">
      <c r="A2570">
        <v>1282</v>
      </c>
      <c r="B2570">
        <v>2281</v>
      </c>
      <c r="C2570" t="s">
        <v>1175</v>
      </c>
      <c r="D2570" t="s">
        <v>392</v>
      </c>
      <c r="E2570" t="s">
        <v>15</v>
      </c>
      <c r="F2570" t="s">
        <v>3741</v>
      </c>
      <c r="G2570" t="str">
        <f>"00189486"</f>
        <v>00189486</v>
      </c>
      <c r="H2570" t="s">
        <v>93</v>
      </c>
      <c r="I2570">
        <v>150</v>
      </c>
      <c r="J2570">
        <v>0</v>
      </c>
      <c r="K2570">
        <v>0</v>
      </c>
      <c r="L2570">
        <v>0</v>
      </c>
      <c r="M2570">
        <v>0</v>
      </c>
      <c r="N2570">
        <v>0</v>
      </c>
      <c r="O2570">
        <v>0</v>
      </c>
      <c r="P2570">
        <v>0</v>
      </c>
      <c r="Q2570">
        <v>0</v>
      </c>
      <c r="R2570">
        <v>0</v>
      </c>
      <c r="S2570">
        <v>0</v>
      </c>
      <c r="T2570">
        <v>0</v>
      </c>
      <c r="V2570">
        <v>0</v>
      </c>
      <c r="W2570" t="s">
        <v>3742</v>
      </c>
    </row>
    <row r="2571" spans="1:23" x14ac:dyDescent="0.25">
      <c r="H2571">
        <v>703</v>
      </c>
    </row>
    <row r="2572" spans="1:23" x14ac:dyDescent="0.25">
      <c r="A2572">
        <v>1283</v>
      </c>
      <c r="B2572">
        <v>265</v>
      </c>
      <c r="C2572" t="s">
        <v>3743</v>
      </c>
      <c r="D2572" t="s">
        <v>3744</v>
      </c>
      <c r="E2572" t="s">
        <v>135</v>
      </c>
      <c r="F2572" t="s">
        <v>3745</v>
      </c>
      <c r="G2572" t="str">
        <f>"201402003434"</f>
        <v>201402003434</v>
      </c>
      <c r="H2572">
        <v>1056</v>
      </c>
      <c r="I2572">
        <v>0</v>
      </c>
      <c r="J2572">
        <v>70</v>
      </c>
      <c r="K2572">
        <v>0</v>
      </c>
      <c r="L2572">
        <v>0</v>
      </c>
      <c r="M2572">
        <v>30</v>
      </c>
      <c r="N2572">
        <v>50</v>
      </c>
      <c r="O2572">
        <v>0</v>
      </c>
      <c r="P2572">
        <v>0</v>
      </c>
      <c r="Q2572">
        <v>0</v>
      </c>
      <c r="R2572">
        <v>4</v>
      </c>
      <c r="S2572">
        <v>28</v>
      </c>
      <c r="T2572">
        <v>0</v>
      </c>
      <c r="V2572">
        <v>0</v>
      </c>
      <c r="W2572">
        <v>1234</v>
      </c>
    </row>
    <row r="2573" spans="1:23" x14ac:dyDescent="0.25">
      <c r="H2573" t="s">
        <v>70</v>
      </c>
    </row>
    <row r="2574" spans="1:23" x14ac:dyDescent="0.25">
      <c r="A2574">
        <v>1284</v>
      </c>
      <c r="B2574">
        <v>3202</v>
      </c>
      <c r="C2574" t="s">
        <v>3746</v>
      </c>
      <c r="D2574" t="s">
        <v>109</v>
      </c>
      <c r="E2574" t="s">
        <v>350</v>
      </c>
      <c r="F2574" t="s">
        <v>3747</v>
      </c>
      <c r="G2574" t="str">
        <f>"201405001063"</f>
        <v>201405001063</v>
      </c>
      <c r="H2574">
        <v>1034</v>
      </c>
      <c r="I2574">
        <v>150</v>
      </c>
      <c r="J2574">
        <v>50</v>
      </c>
      <c r="K2574">
        <v>0</v>
      </c>
      <c r="L2574">
        <v>0</v>
      </c>
      <c r="M2574">
        <v>0</v>
      </c>
      <c r="N2574">
        <v>0</v>
      </c>
      <c r="O2574">
        <v>0</v>
      </c>
      <c r="P2574">
        <v>0</v>
      </c>
      <c r="Q2574">
        <v>0</v>
      </c>
      <c r="R2574">
        <v>0</v>
      </c>
      <c r="S2574">
        <v>0</v>
      </c>
      <c r="T2574">
        <v>0</v>
      </c>
      <c r="V2574">
        <v>0</v>
      </c>
      <c r="W2574">
        <v>1234</v>
      </c>
    </row>
    <row r="2575" spans="1:23" x14ac:dyDescent="0.25">
      <c r="H2575">
        <v>703</v>
      </c>
    </row>
    <row r="2576" spans="1:23" x14ac:dyDescent="0.25">
      <c r="A2576">
        <v>1285</v>
      </c>
      <c r="B2576">
        <v>2828</v>
      </c>
      <c r="C2576" t="s">
        <v>3748</v>
      </c>
      <c r="D2576" t="s">
        <v>1026</v>
      </c>
      <c r="E2576" t="s">
        <v>109</v>
      </c>
      <c r="F2576" t="s">
        <v>3749</v>
      </c>
      <c r="G2576" t="str">
        <f>"200712005529"</f>
        <v>200712005529</v>
      </c>
      <c r="H2576" t="s">
        <v>408</v>
      </c>
      <c r="I2576">
        <v>0</v>
      </c>
      <c r="J2576">
        <v>70</v>
      </c>
      <c r="K2576">
        <v>30</v>
      </c>
      <c r="L2576">
        <v>0</v>
      </c>
      <c r="M2576">
        <v>0</v>
      </c>
      <c r="N2576">
        <v>0</v>
      </c>
      <c r="O2576">
        <v>0</v>
      </c>
      <c r="P2576">
        <v>0</v>
      </c>
      <c r="Q2576">
        <v>0</v>
      </c>
      <c r="R2576">
        <v>27</v>
      </c>
      <c r="S2576">
        <v>189</v>
      </c>
      <c r="T2576">
        <v>0</v>
      </c>
      <c r="V2576">
        <v>0</v>
      </c>
      <c r="W2576" t="s">
        <v>3750</v>
      </c>
    </row>
    <row r="2577" spans="1:23" x14ac:dyDescent="0.25">
      <c r="H2577" t="s">
        <v>70</v>
      </c>
    </row>
    <row r="2578" spans="1:23" x14ac:dyDescent="0.25">
      <c r="A2578">
        <v>1286</v>
      </c>
      <c r="B2578">
        <v>1884</v>
      </c>
      <c r="C2578" t="s">
        <v>3751</v>
      </c>
      <c r="D2578" t="s">
        <v>46</v>
      </c>
      <c r="E2578" t="s">
        <v>53</v>
      </c>
      <c r="F2578" t="s">
        <v>3752</v>
      </c>
      <c r="G2578" t="str">
        <f>"200905000306"</f>
        <v>200905000306</v>
      </c>
      <c r="H2578" t="s">
        <v>570</v>
      </c>
      <c r="I2578">
        <v>0</v>
      </c>
      <c r="J2578">
        <v>70</v>
      </c>
      <c r="K2578">
        <v>0</v>
      </c>
      <c r="L2578">
        <v>0</v>
      </c>
      <c r="M2578">
        <v>0</v>
      </c>
      <c r="N2578">
        <v>0</v>
      </c>
      <c r="O2578">
        <v>0</v>
      </c>
      <c r="P2578">
        <v>0</v>
      </c>
      <c r="Q2578">
        <v>0</v>
      </c>
      <c r="R2578">
        <v>22</v>
      </c>
      <c r="S2578">
        <v>154</v>
      </c>
      <c r="T2578">
        <v>0</v>
      </c>
      <c r="V2578">
        <v>0</v>
      </c>
      <c r="W2578" t="s">
        <v>3753</v>
      </c>
    </row>
    <row r="2579" spans="1:23" x14ac:dyDescent="0.25">
      <c r="H2579">
        <v>703</v>
      </c>
    </row>
    <row r="2580" spans="1:23" x14ac:dyDescent="0.25">
      <c r="A2580">
        <v>1287</v>
      </c>
      <c r="B2580">
        <v>1667</v>
      </c>
      <c r="C2580" t="s">
        <v>3754</v>
      </c>
      <c r="D2580" t="s">
        <v>273</v>
      </c>
      <c r="E2580" t="s">
        <v>15</v>
      </c>
      <c r="F2580" t="s">
        <v>3755</v>
      </c>
      <c r="G2580" t="str">
        <f>"200804000645"</f>
        <v>200804000645</v>
      </c>
      <c r="H2580" t="s">
        <v>209</v>
      </c>
      <c r="I2580">
        <v>150</v>
      </c>
      <c r="J2580">
        <v>0</v>
      </c>
      <c r="K2580">
        <v>0</v>
      </c>
      <c r="L2580">
        <v>0</v>
      </c>
      <c r="M2580">
        <v>0</v>
      </c>
      <c r="N2580">
        <v>0</v>
      </c>
      <c r="O2580">
        <v>0</v>
      </c>
      <c r="P2580">
        <v>0</v>
      </c>
      <c r="Q2580">
        <v>0</v>
      </c>
      <c r="R2580">
        <v>0</v>
      </c>
      <c r="S2580">
        <v>0</v>
      </c>
      <c r="T2580">
        <v>0</v>
      </c>
      <c r="V2580">
        <v>0</v>
      </c>
      <c r="W2580" t="s">
        <v>3756</v>
      </c>
    </row>
    <row r="2581" spans="1:23" x14ac:dyDescent="0.25">
      <c r="H2581">
        <v>703</v>
      </c>
    </row>
    <row r="2582" spans="1:23" x14ac:dyDescent="0.25">
      <c r="A2582">
        <v>1288</v>
      </c>
      <c r="B2582">
        <v>2487</v>
      </c>
      <c r="C2582" t="s">
        <v>144</v>
      </c>
      <c r="D2582" t="s">
        <v>3757</v>
      </c>
      <c r="E2582" t="s">
        <v>41</v>
      </c>
      <c r="F2582" t="s">
        <v>3758</v>
      </c>
      <c r="G2582" t="str">
        <f>"00224742"</f>
        <v>00224742</v>
      </c>
      <c r="H2582" t="s">
        <v>3759</v>
      </c>
      <c r="I2582">
        <v>0</v>
      </c>
      <c r="J2582">
        <v>0</v>
      </c>
      <c r="K2582">
        <v>0</v>
      </c>
      <c r="L2582">
        <v>0</v>
      </c>
      <c r="M2582">
        <v>0</v>
      </c>
      <c r="N2582">
        <v>0</v>
      </c>
      <c r="O2582">
        <v>0</v>
      </c>
      <c r="P2582">
        <v>0</v>
      </c>
      <c r="Q2582">
        <v>0</v>
      </c>
      <c r="R2582">
        <v>84</v>
      </c>
      <c r="S2582">
        <v>588</v>
      </c>
      <c r="T2582">
        <v>0</v>
      </c>
      <c r="V2582">
        <v>2</v>
      </c>
      <c r="W2582" t="s">
        <v>3760</v>
      </c>
    </row>
    <row r="2583" spans="1:23" x14ac:dyDescent="0.25">
      <c r="H2583">
        <v>703</v>
      </c>
    </row>
    <row r="2584" spans="1:23" x14ac:dyDescent="0.25">
      <c r="A2584">
        <v>1289</v>
      </c>
      <c r="B2584">
        <v>1382</v>
      </c>
      <c r="C2584" t="s">
        <v>3761</v>
      </c>
      <c r="D2584" t="s">
        <v>47</v>
      </c>
      <c r="E2584" t="s">
        <v>414</v>
      </c>
      <c r="F2584" t="s">
        <v>3762</v>
      </c>
      <c r="G2584" t="str">
        <f>"201405000379"</f>
        <v>201405000379</v>
      </c>
      <c r="H2584" t="s">
        <v>73</v>
      </c>
      <c r="I2584">
        <v>0</v>
      </c>
      <c r="J2584">
        <v>70</v>
      </c>
      <c r="K2584">
        <v>70</v>
      </c>
      <c r="L2584">
        <v>0</v>
      </c>
      <c r="M2584">
        <v>0</v>
      </c>
      <c r="N2584">
        <v>0</v>
      </c>
      <c r="O2584">
        <v>0</v>
      </c>
      <c r="P2584">
        <v>0</v>
      </c>
      <c r="Q2584">
        <v>0</v>
      </c>
      <c r="R2584">
        <v>6</v>
      </c>
      <c r="S2584">
        <v>42</v>
      </c>
      <c r="T2584">
        <v>0</v>
      </c>
      <c r="V2584">
        <v>0</v>
      </c>
      <c r="W2584" t="s">
        <v>3763</v>
      </c>
    </row>
    <row r="2585" spans="1:23" x14ac:dyDescent="0.25">
      <c r="H2585" t="s">
        <v>26</v>
      </c>
    </row>
    <row r="2586" spans="1:23" x14ac:dyDescent="0.25">
      <c r="A2586">
        <v>1290</v>
      </c>
      <c r="B2586">
        <v>2572</v>
      </c>
      <c r="C2586" t="s">
        <v>3764</v>
      </c>
      <c r="D2586" t="s">
        <v>279</v>
      </c>
      <c r="E2586" t="s">
        <v>3270</v>
      </c>
      <c r="F2586" t="s">
        <v>3765</v>
      </c>
      <c r="G2586" t="str">
        <f>"00230927"</f>
        <v>00230927</v>
      </c>
      <c r="H2586">
        <v>1012</v>
      </c>
      <c r="I2586">
        <v>0</v>
      </c>
      <c r="J2586">
        <v>50</v>
      </c>
      <c r="K2586">
        <v>0</v>
      </c>
      <c r="L2586">
        <v>30</v>
      </c>
      <c r="M2586">
        <v>0</v>
      </c>
      <c r="N2586">
        <v>0</v>
      </c>
      <c r="O2586">
        <v>0</v>
      </c>
      <c r="P2586">
        <v>0</v>
      </c>
      <c r="Q2586">
        <v>0</v>
      </c>
      <c r="R2586">
        <v>20</v>
      </c>
      <c r="S2586">
        <v>140</v>
      </c>
      <c r="T2586">
        <v>0</v>
      </c>
      <c r="V2586">
        <v>1</v>
      </c>
      <c r="W2586">
        <v>1232</v>
      </c>
    </row>
    <row r="2587" spans="1:23" x14ac:dyDescent="0.25">
      <c r="H2587" t="s">
        <v>70</v>
      </c>
    </row>
    <row r="2588" spans="1:23" x14ac:dyDescent="0.25">
      <c r="A2588">
        <v>1291</v>
      </c>
      <c r="B2588">
        <v>2947</v>
      </c>
      <c r="C2588" t="s">
        <v>3766</v>
      </c>
      <c r="D2588" t="s">
        <v>3767</v>
      </c>
      <c r="E2588" t="s">
        <v>105</v>
      </c>
      <c r="F2588" t="s">
        <v>3768</v>
      </c>
      <c r="G2588" t="str">
        <f>"00224406"</f>
        <v>00224406</v>
      </c>
      <c r="H2588" t="s">
        <v>73</v>
      </c>
      <c r="I2588">
        <v>150</v>
      </c>
      <c r="J2588">
        <v>30</v>
      </c>
      <c r="K2588">
        <v>0</v>
      </c>
      <c r="L2588">
        <v>0</v>
      </c>
      <c r="M2588">
        <v>0</v>
      </c>
      <c r="N2588">
        <v>0</v>
      </c>
      <c r="O2588">
        <v>0</v>
      </c>
      <c r="P2588">
        <v>0</v>
      </c>
      <c r="Q2588">
        <v>0</v>
      </c>
      <c r="R2588">
        <v>0</v>
      </c>
      <c r="S2588">
        <v>0</v>
      </c>
      <c r="T2588">
        <v>0</v>
      </c>
      <c r="V2588">
        <v>0</v>
      </c>
      <c r="W2588" t="s">
        <v>3769</v>
      </c>
    </row>
    <row r="2589" spans="1:23" x14ac:dyDescent="0.25">
      <c r="H2589">
        <v>703</v>
      </c>
    </row>
    <row r="2590" spans="1:23" x14ac:dyDescent="0.25">
      <c r="A2590">
        <v>1292</v>
      </c>
      <c r="B2590">
        <v>2307</v>
      </c>
      <c r="C2590" t="s">
        <v>3770</v>
      </c>
      <c r="D2590" t="s">
        <v>40</v>
      </c>
      <c r="E2590" t="s">
        <v>1075</v>
      </c>
      <c r="F2590" t="s">
        <v>3771</v>
      </c>
      <c r="G2590" t="str">
        <f>"201409005769"</f>
        <v>201409005769</v>
      </c>
      <c r="H2590" t="s">
        <v>358</v>
      </c>
      <c r="I2590">
        <v>150</v>
      </c>
      <c r="J2590">
        <v>50</v>
      </c>
      <c r="K2590">
        <v>0</v>
      </c>
      <c r="L2590">
        <v>0</v>
      </c>
      <c r="M2590">
        <v>0</v>
      </c>
      <c r="N2590">
        <v>0</v>
      </c>
      <c r="O2590">
        <v>0</v>
      </c>
      <c r="P2590">
        <v>0</v>
      </c>
      <c r="Q2590">
        <v>0</v>
      </c>
      <c r="R2590">
        <v>5</v>
      </c>
      <c r="S2590">
        <v>35</v>
      </c>
      <c r="T2590">
        <v>0</v>
      </c>
      <c r="V2590">
        <v>0</v>
      </c>
      <c r="W2590" t="s">
        <v>3769</v>
      </c>
    </row>
    <row r="2591" spans="1:23" x14ac:dyDescent="0.25">
      <c r="H2591">
        <v>703</v>
      </c>
    </row>
    <row r="2592" spans="1:23" x14ac:dyDescent="0.25">
      <c r="A2592">
        <v>1293</v>
      </c>
      <c r="B2592">
        <v>1122</v>
      </c>
      <c r="C2592" t="s">
        <v>3772</v>
      </c>
      <c r="D2592" t="s">
        <v>62</v>
      </c>
      <c r="E2592" t="s">
        <v>68</v>
      </c>
      <c r="F2592" t="s">
        <v>3773</v>
      </c>
      <c r="G2592" t="str">
        <f>"201401001556"</f>
        <v>201401001556</v>
      </c>
      <c r="H2592" t="s">
        <v>202</v>
      </c>
      <c r="I2592">
        <v>0</v>
      </c>
      <c r="J2592">
        <v>50</v>
      </c>
      <c r="K2592">
        <v>0</v>
      </c>
      <c r="L2592">
        <v>0</v>
      </c>
      <c r="M2592">
        <v>0</v>
      </c>
      <c r="N2592">
        <v>0</v>
      </c>
      <c r="O2592">
        <v>0</v>
      </c>
      <c r="P2592">
        <v>0</v>
      </c>
      <c r="Q2592">
        <v>0</v>
      </c>
      <c r="R2592">
        <v>28</v>
      </c>
      <c r="S2592">
        <v>196</v>
      </c>
      <c r="T2592">
        <v>0</v>
      </c>
      <c r="V2592">
        <v>0</v>
      </c>
      <c r="W2592" t="s">
        <v>3769</v>
      </c>
    </row>
    <row r="2593" spans="1:23" x14ac:dyDescent="0.25">
      <c r="H2593">
        <v>703</v>
      </c>
    </row>
    <row r="2594" spans="1:23" x14ac:dyDescent="0.25">
      <c r="A2594">
        <v>1294</v>
      </c>
      <c r="B2594">
        <v>2197</v>
      </c>
      <c r="C2594" t="s">
        <v>3774</v>
      </c>
      <c r="D2594" t="s">
        <v>46</v>
      </c>
      <c r="E2594" t="s">
        <v>135</v>
      </c>
      <c r="F2594" t="s">
        <v>3775</v>
      </c>
      <c r="G2594" t="str">
        <f>"201604000008"</f>
        <v>201604000008</v>
      </c>
      <c r="H2594">
        <v>1045</v>
      </c>
      <c r="I2594">
        <v>150</v>
      </c>
      <c r="J2594">
        <v>0</v>
      </c>
      <c r="K2594">
        <v>0</v>
      </c>
      <c r="L2594">
        <v>0</v>
      </c>
      <c r="M2594">
        <v>0</v>
      </c>
      <c r="N2594">
        <v>0</v>
      </c>
      <c r="O2594">
        <v>0</v>
      </c>
      <c r="P2594">
        <v>0</v>
      </c>
      <c r="Q2594">
        <v>0</v>
      </c>
      <c r="R2594">
        <v>5</v>
      </c>
      <c r="S2594">
        <v>35</v>
      </c>
      <c r="T2594">
        <v>0</v>
      </c>
      <c r="V2594">
        <v>0</v>
      </c>
      <c r="W2594">
        <v>1230</v>
      </c>
    </row>
    <row r="2595" spans="1:23" x14ac:dyDescent="0.25">
      <c r="H2595" t="s">
        <v>3704</v>
      </c>
    </row>
    <row r="2596" spans="1:23" x14ac:dyDescent="0.25">
      <c r="A2596">
        <v>1295</v>
      </c>
      <c r="B2596">
        <v>2251</v>
      </c>
      <c r="C2596" t="s">
        <v>3776</v>
      </c>
      <c r="D2596" t="s">
        <v>3777</v>
      </c>
      <c r="E2596" t="s">
        <v>76</v>
      </c>
      <c r="F2596" t="s">
        <v>3778</v>
      </c>
      <c r="G2596" t="str">
        <f>"201010000081"</f>
        <v>201010000081</v>
      </c>
      <c r="H2596">
        <v>682</v>
      </c>
      <c r="I2596">
        <v>0</v>
      </c>
      <c r="J2596">
        <v>30</v>
      </c>
      <c r="K2596">
        <v>0</v>
      </c>
      <c r="L2596">
        <v>0</v>
      </c>
      <c r="M2596">
        <v>0</v>
      </c>
      <c r="N2596">
        <v>0</v>
      </c>
      <c r="O2596">
        <v>0</v>
      </c>
      <c r="P2596">
        <v>0</v>
      </c>
      <c r="Q2596">
        <v>0</v>
      </c>
      <c r="R2596">
        <v>74</v>
      </c>
      <c r="S2596">
        <v>518</v>
      </c>
      <c r="T2596">
        <v>0</v>
      </c>
      <c r="V2596">
        <v>0</v>
      </c>
      <c r="W2596">
        <v>1230</v>
      </c>
    </row>
    <row r="2597" spans="1:23" x14ac:dyDescent="0.25">
      <c r="H2597">
        <v>703</v>
      </c>
    </row>
    <row r="2598" spans="1:23" x14ac:dyDescent="0.25">
      <c r="A2598">
        <v>1296</v>
      </c>
      <c r="B2598">
        <v>1738</v>
      </c>
      <c r="C2598" t="s">
        <v>3779</v>
      </c>
      <c r="D2598" t="s">
        <v>3780</v>
      </c>
      <c r="E2598" t="s">
        <v>3781</v>
      </c>
      <c r="F2598" t="s">
        <v>3782</v>
      </c>
      <c r="G2598" t="str">
        <f>"201511025847"</f>
        <v>201511025847</v>
      </c>
      <c r="H2598" t="s">
        <v>2889</v>
      </c>
      <c r="I2598">
        <v>0</v>
      </c>
      <c r="J2598">
        <v>0</v>
      </c>
      <c r="K2598">
        <v>0</v>
      </c>
      <c r="L2598">
        <v>0</v>
      </c>
      <c r="M2598">
        <v>0</v>
      </c>
      <c r="N2598">
        <v>0</v>
      </c>
      <c r="O2598">
        <v>0</v>
      </c>
      <c r="P2598">
        <v>0</v>
      </c>
      <c r="Q2598">
        <v>0</v>
      </c>
      <c r="R2598">
        <v>60</v>
      </c>
      <c r="S2598">
        <v>420</v>
      </c>
      <c r="T2598">
        <v>0</v>
      </c>
      <c r="V2598">
        <v>0</v>
      </c>
      <c r="W2598" t="s">
        <v>3783</v>
      </c>
    </row>
    <row r="2599" spans="1:23" x14ac:dyDescent="0.25">
      <c r="H2599">
        <v>703</v>
      </c>
    </row>
    <row r="2600" spans="1:23" x14ac:dyDescent="0.25">
      <c r="A2600">
        <v>1297</v>
      </c>
      <c r="B2600">
        <v>302</v>
      </c>
      <c r="C2600" t="s">
        <v>3784</v>
      </c>
      <c r="D2600" t="s">
        <v>28</v>
      </c>
      <c r="E2600" t="s">
        <v>109</v>
      </c>
      <c r="F2600" t="s">
        <v>3785</v>
      </c>
      <c r="G2600" t="str">
        <f>"00159110"</f>
        <v>00159110</v>
      </c>
      <c r="H2600" t="s">
        <v>376</v>
      </c>
      <c r="I2600">
        <v>150</v>
      </c>
      <c r="J2600">
        <v>30</v>
      </c>
      <c r="K2600">
        <v>0</v>
      </c>
      <c r="L2600">
        <v>0</v>
      </c>
      <c r="M2600">
        <v>0</v>
      </c>
      <c r="N2600">
        <v>0</v>
      </c>
      <c r="O2600">
        <v>0</v>
      </c>
      <c r="P2600">
        <v>0</v>
      </c>
      <c r="Q2600">
        <v>0</v>
      </c>
      <c r="R2600">
        <v>0</v>
      </c>
      <c r="S2600">
        <v>0</v>
      </c>
      <c r="T2600">
        <v>0</v>
      </c>
      <c r="V2600">
        <v>0</v>
      </c>
      <c r="W2600" t="s">
        <v>3786</v>
      </c>
    </row>
    <row r="2601" spans="1:23" x14ac:dyDescent="0.25">
      <c r="H2601">
        <v>703</v>
      </c>
    </row>
    <row r="2602" spans="1:23" x14ac:dyDescent="0.25">
      <c r="A2602">
        <v>1298</v>
      </c>
      <c r="B2602">
        <v>1589</v>
      </c>
      <c r="C2602" t="s">
        <v>3787</v>
      </c>
      <c r="D2602" t="s">
        <v>109</v>
      </c>
      <c r="E2602" t="s">
        <v>53</v>
      </c>
      <c r="F2602" t="s">
        <v>3788</v>
      </c>
      <c r="G2602" t="str">
        <f>"00005179"</f>
        <v>00005179</v>
      </c>
      <c r="H2602">
        <v>924</v>
      </c>
      <c r="I2602">
        <v>0</v>
      </c>
      <c r="J2602">
        <v>50</v>
      </c>
      <c r="K2602">
        <v>0</v>
      </c>
      <c r="L2602">
        <v>30</v>
      </c>
      <c r="M2602">
        <v>0</v>
      </c>
      <c r="N2602">
        <v>0</v>
      </c>
      <c r="O2602">
        <v>0</v>
      </c>
      <c r="P2602">
        <v>0</v>
      </c>
      <c r="Q2602">
        <v>0</v>
      </c>
      <c r="R2602">
        <v>32</v>
      </c>
      <c r="S2602">
        <v>224</v>
      </c>
      <c r="T2602">
        <v>0</v>
      </c>
      <c r="V2602">
        <v>0</v>
      </c>
      <c r="W2602">
        <v>1228</v>
      </c>
    </row>
    <row r="2603" spans="1:23" x14ac:dyDescent="0.25">
      <c r="H2603" t="s">
        <v>26</v>
      </c>
    </row>
    <row r="2604" spans="1:23" x14ac:dyDescent="0.25">
      <c r="A2604">
        <v>1299</v>
      </c>
      <c r="B2604">
        <v>401</v>
      </c>
      <c r="C2604" t="s">
        <v>3789</v>
      </c>
      <c r="D2604" t="s">
        <v>3790</v>
      </c>
      <c r="E2604" t="s">
        <v>53</v>
      </c>
      <c r="F2604" t="s">
        <v>3791</v>
      </c>
      <c r="G2604" t="str">
        <f>"00111444"</f>
        <v>00111444</v>
      </c>
      <c r="H2604" t="s">
        <v>3792</v>
      </c>
      <c r="I2604">
        <v>0</v>
      </c>
      <c r="J2604">
        <v>0</v>
      </c>
      <c r="K2604">
        <v>0</v>
      </c>
      <c r="L2604">
        <v>0</v>
      </c>
      <c r="M2604">
        <v>0</v>
      </c>
      <c r="N2604">
        <v>0</v>
      </c>
      <c r="O2604">
        <v>70</v>
      </c>
      <c r="P2604">
        <v>0</v>
      </c>
      <c r="Q2604">
        <v>0</v>
      </c>
      <c r="R2604">
        <v>37</v>
      </c>
      <c r="S2604">
        <v>259</v>
      </c>
      <c r="T2604">
        <v>0</v>
      </c>
      <c r="V2604">
        <v>0</v>
      </c>
      <c r="W2604" t="s">
        <v>3793</v>
      </c>
    </row>
    <row r="2605" spans="1:23" x14ac:dyDescent="0.25">
      <c r="H2605">
        <v>703</v>
      </c>
    </row>
    <row r="2606" spans="1:23" x14ac:dyDescent="0.25">
      <c r="A2606">
        <v>1300</v>
      </c>
      <c r="B2606">
        <v>44</v>
      </c>
      <c r="C2606" t="s">
        <v>2453</v>
      </c>
      <c r="D2606" t="s">
        <v>1401</v>
      </c>
      <c r="E2606" t="s">
        <v>91</v>
      </c>
      <c r="F2606" t="s">
        <v>3794</v>
      </c>
      <c r="G2606" t="str">
        <f>"201511014574"</f>
        <v>201511014574</v>
      </c>
      <c r="H2606" t="s">
        <v>385</v>
      </c>
      <c r="I2606">
        <v>0</v>
      </c>
      <c r="J2606">
        <v>70</v>
      </c>
      <c r="K2606">
        <v>0</v>
      </c>
      <c r="L2606">
        <v>0</v>
      </c>
      <c r="M2606">
        <v>70</v>
      </c>
      <c r="N2606">
        <v>70</v>
      </c>
      <c r="O2606">
        <v>0</v>
      </c>
      <c r="P2606">
        <v>0</v>
      </c>
      <c r="Q2606">
        <v>0</v>
      </c>
      <c r="R2606">
        <v>0</v>
      </c>
      <c r="S2606">
        <v>0</v>
      </c>
      <c r="T2606">
        <v>0</v>
      </c>
      <c r="V2606">
        <v>0</v>
      </c>
      <c r="W2606" t="s">
        <v>3795</v>
      </c>
    </row>
    <row r="2607" spans="1:23" x14ac:dyDescent="0.25">
      <c r="H2607" t="s">
        <v>26</v>
      </c>
    </row>
    <row r="2608" spans="1:23" x14ac:dyDescent="0.25">
      <c r="A2608">
        <v>1301</v>
      </c>
      <c r="B2608">
        <v>1751</v>
      </c>
      <c r="C2608" t="s">
        <v>3796</v>
      </c>
      <c r="D2608" t="s">
        <v>3797</v>
      </c>
      <c r="E2608" t="s">
        <v>424</v>
      </c>
      <c r="F2608" t="s">
        <v>3798</v>
      </c>
      <c r="G2608" t="str">
        <f>"00166512"</f>
        <v>00166512</v>
      </c>
      <c r="H2608" t="s">
        <v>3799</v>
      </c>
      <c r="I2608">
        <v>0</v>
      </c>
      <c r="J2608">
        <v>0</v>
      </c>
      <c r="K2608">
        <v>0</v>
      </c>
      <c r="L2608">
        <v>0</v>
      </c>
      <c r="M2608">
        <v>0</v>
      </c>
      <c r="N2608">
        <v>0</v>
      </c>
      <c r="O2608">
        <v>0</v>
      </c>
      <c r="P2608">
        <v>0</v>
      </c>
      <c r="Q2608">
        <v>0</v>
      </c>
      <c r="R2608">
        <v>84</v>
      </c>
      <c r="S2608">
        <v>588</v>
      </c>
      <c r="T2608">
        <v>0</v>
      </c>
      <c r="V2608">
        <v>0</v>
      </c>
      <c r="W2608" t="s">
        <v>3800</v>
      </c>
    </row>
    <row r="2609" spans="1:23" x14ac:dyDescent="0.25">
      <c r="H2609">
        <v>703</v>
      </c>
    </row>
    <row r="2610" spans="1:23" x14ac:dyDescent="0.25">
      <c r="A2610">
        <v>1302</v>
      </c>
      <c r="B2610">
        <v>364</v>
      </c>
      <c r="C2610" t="s">
        <v>3801</v>
      </c>
      <c r="D2610" t="s">
        <v>3517</v>
      </c>
      <c r="E2610" t="s">
        <v>2933</v>
      </c>
      <c r="F2610" t="s">
        <v>3802</v>
      </c>
      <c r="G2610" t="str">
        <f>"00185098"</f>
        <v>00185098</v>
      </c>
      <c r="H2610">
        <v>825</v>
      </c>
      <c r="I2610">
        <v>150</v>
      </c>
      <c r="J2610">
        <v>0</v>
      </c>
      <c r="K2610">
        <v>0</v>
      </c>
      <c r="L2610">
        <v>0</v>
      </c>
      <c r="M2610">
        <v>0</v>
      </c>
      <c r="N2610">
        <v>0</v>
      </c>
      <c r="O2610">
        <v>0</v>
      </c>
      <c r="P2610">
        <v>0</v>
      </c>
      <c r="Q2610">
        <v>0</v>
      </c>
      <c r="R2610">
        <v>36</v>
      </c>
      <c r="S2610">
        <v>252</v>
      </c>
      <c r="T2610">
        <v>0</v>
      </c>
      <c r="V2610">
        <v>0</v>
      </c>
      <c r="W2610">
        <v>1227</v>
      </c>
    </row>
    <row r="2611" spans="1:23" x14ac:dyDescent="0.25">
      <c r="H2611">
        <v>703</v>
      </c>
    </row>
    <row r="2612" spans="1:23" x14ac:dyDescent="0.25">
      <c r="A2612">
        <v>1303</v>
      </c>
      <c r="B2612">
        <v>943</v>
      </c>
      <c r="C2612" t="s">
        <v>3803</v>
      </c>
      <c r="D2612" t="s">
        <v>273</v>
      </c>
      <c r="E2612" t="s">
        <v>91</v>
      </c>
      <c r="F2612" t="s">
        <v>3804</v>
      </c>
      <c r="G2612" t="str">
        <f>"00229029"</f>
        <v>00229029</v>
      </c>
      <c r="H2612" t="s">
        <v>2309</v>
      </c>
      <c r="I2612">
        <v>0</v>
      </c>
      <c r="J2612">
        <v>30</v>
      </c>
      <c r="K2612">
        <v>0</v>
      </c>
      <c r="L2612">
        <v>50</v>
      </c>
      <c r="M2612">
        <v>0</v>
      </c>
      <c r="N2612">
        <v>0</v>
      </c>
      <c r="O2612">
        <v>0</v>
      </c>
      <c r="P2612">
        <v>0</v>
      </c>
      <c r="Q2612">
        <v>0</v>
      </c>
      <c r="R2612">
        <v>41</v>
      </c>
      <c r="S2612">
        <v>287</v>
      </c>
      <c r="T2612">
        <v>0</v>
      </c>
      <c r="V2612">
        <v>0</v>
      </c>
      <c r="W2612" t="s">
        <v>3805</v>
      </c>
    </row>
    <row r="2613" spans="1:23" x14ac:dyDescent="0.25">
      <c r="H2613" t="s">
        <v>70</v>
      </c>
    </row>
    <row r="2614" spans="1:23" x14ac:dyDescent="0.25">
      <c r="A2614">
        <v>1304</v>
      </c>
      <c r="B2614">
        <v>2669</v>
      </c>
      <c r="C2614" t="s">
        <v>3806</v>
      </c>
      <c r="D2614" t="s">
        <v>1719</v>
      </c>
      <c r="E2614" t="s">
        <v>752</v>
      </c>
      <c r="F2614" t="s">
        <v>3807</v>
      </c>
      <c r="G2614" t="str">
        <f>"201511026585"</f>
        <v>201511026585</v>
      </c>
      <c r="H2614">
        <v>957</v>
      </c>
      <c r="I2614">
        <v>150</v>
      </c>
      <c r="J2614">
        <v>0</v>
      </c>
      <c r="K2614">
        <v>0</v>
      </c>
      <c r="L2614">
        <v>0</v>
      </c>
      <c r="M2614">
        <v>0</v>
      </c>
      <c r="N2614">
        <v>0</v>
      </c>
      <c r="O2614">
        <v>0</v>
      </c>
      <c r="P2614">
        <v>0</v>
      </c>
      <c r="Q2614">
        <v>0</v>
      </c>
      <c r="R2614">
        <v>17</v>
      </c>
      <c r="S2614">
        <v>119</v>
      </c>
      <c r="T2614">
        <v>0</v>
      </c>
      <c r="V2614">
        <v>0</v>
      </c>
      <c r="W2614">
        <v>1226</v>
      </c>
    </row>
    <row r="2615" spans="1:23" x14ac:dyDescent="0.25">
      <c r="H2615">
        <v>703</v>
      </c>
    </row>
    <row r="2616" spans="1:23" x14ac:dyDescent="0.25">
      <c r="A2616">
        <v>1305</v>
      </c>
      <c r="B2616">
        <v>5</v>
      </c>
      <c r="C2616" t="s">
        <v>3808</v>
      </c>
      <c r="D2616" t="s">
        <v>40</v>
      </c>
      <c r="E2616" t="s">
        <v>15</v>
      </c>
      <c r="F2616" t="s">
        <v>3809</v>
      </c>
      <c r="G2616" t="str">
        <f>"00223885"</f>
        <v>00223885</v>
      </c>
      <c r="H2616" t="s">
        <v>662</v>
      </c>
      <c r="I2616">
        <v>150</v>
      </c>
      <c r="J2616">
        <v>0</v>
      </c>
      <c r="K2616">
        <v>0</v>
      </c>
      <c r="L2616">
        <v>0</v>
      </c>
      <c r="M2616">
        <v>0</v>
      </c>
      <c r="N2616">
        <v>0</v>
      </c>
      <c r="O2616">
        <v>0</v>
      </c>
      <c r="P2616">
        <v>0</v>
      </c>
      <c r="Q2616">
        <v>0</v>
      </c>
      <c r="R2616">
        <v>11</v>
      </c>
      <c r="S2616">
        <v>77</v>
      </c>
      <c r="T2616">
        <v>0</v>
      </c>
      <c r="V2616">
        <v>0</v>
      </c>
      <c r="W2616" t="s">
        <v>3810</v>
      </c>
    </row>
    <row r="2617" spans="1:23" x14ac:dyDescent="0.25">
      <c r="H2617">
        <v>703</v>
      </c>
    </row>
    <row r="2618" spans="1:23" x14ac:dyDescent="0.25">
      <c r="A2618">
        <v>1306</v>
      </c>
      <c r="B2618">
        <v>47</v>
      </c>
      <c r="C2618" t="s">
        <v>3811</v>
      </c>
      <c r="D2618" t="s">
        <v>3812</v>
      </c>
      <c r="E2618" t="s">
        <v>3813</v>
      </c>
      <c r="F2618" t="s">
        <v>3814</v>
      </c>
      <c r="G2618" t="str">
        <f>"00157884"</f>
        <v>00157884</v>
      </c>
      <c r="H2618" t="s">
        <v>2889</v>
      </c>
      <c r="I2618">
        <v>150</v>
      </c>
      <c r="J2618">
        <v>0</v>
      </c>
      <c r="K2618">
        <v>0</v>
      </c>
      <c r="L2618">
        <v>0</v>
      </c>
      <c r="M2618">
        <v>0</v>
      </c>
      <c r="N2618">
        <v>0</v>
      </c>
      <c r="O2618">
        <v>0</v>
      </c>
      <c r="P2618">
        <v>0</v>
      </c>
      <c r="Q2618">
        <v>0</v>
      </c>
      <c r="R2618">
        <v>38</v>
      </c>
      <c r="S2618">
        <v>266</v>
      </c>
      <c r="T2618">
        <v>0</v>
      </c>
      <c r="V2618">
        <v>0</v>
      </c>
      <c r="W2618" t="s">
        <v>3815</v>
      </c>
    </row>
    <row r="2619" spans="1:23" x14ac:dyDescent="0.25">
      <c r="H2619">
        <v>703</v>
      </c>
    </row>
    <row r="2620" spans="1:23" x14ac:dyDescent="0.25">
      <c r="A2620">
        <v>1307</v>
      </c>
      <c r="B2620">
        <v>594</v>
      </c>
      <c r="C2620" t="s">
        <v>3816</v>
      </c>
      <c r="D2620" t="s">
        <v>424</v>
      </c>
      <c r="E2620" t="s">
        <v>15</v>
      </c>
      <c r="F2620" t="s">
        <v>3817</v>
      </c>
      <c r="G2620" t="str">
        <f>"201511017765"</f>
        <v>201511017765</v>
      </c>
      <c r="H2620">
        <v>1078</v>
      </c>
      <c r="I2620">
        <v>0</v>
      </c>
      <c r="J2620">
        <v>70</v>
      </c>
      <c r="K2620">
        <v>0</v>
      </c>
      <c r="L2620">
        <v>0</v>
      </c>
      <c r="M2620">
        <v>0</v>
      </c>
      <c r="N2620">
        <v>0</v>
      </c>
      <c r="O2620">
        <v>0</v>
      </c>
      <c r="P2620">
        <v>0</v>
      </c>
      <c r="Q2620">
        <v>0</v>
      </c>
      <c r="R2620">
        <v>11</v>
      </c>
      <c r="S2620">
        <v>77</v>
      </c>
      <c r="T2620">
        <v>0</v>
      </c>
      <c r="V2620">
        <v>0</v>
      </c>
      <c r="W2620">
        <v>1225</v>
      </c>
    </row>
    <row r="2621" spans="1:23" x14ac:dyDescent="0.25">
      <c r="H2621">
        <v>703</v>
      </c>
    </row>
    <row r="2622" spans="1:23" x14ac:dyDescent="0.25">
      <c r="A2622">
        <v>1308</v>
      </c>
      <c r="B2622">
        <v>2616</v>
      </c>
      <c r="C2622" t="s">
        <v>3818</v>
      </c>
      <c r="D2622" t="s">
        <v>3819</v>
      </c>
      <c r="E2622" t="s">
        <v>99</v>
      </c>
      <c r="F2622" t="s">
        <v>3820</v>
      </c>
      <c r="G2622" t="str">
        <f>"201511025947"</f>
        <v>201511025947</v>
      </c>
      <c r="H2622" t="s">
        <v>1583</v>
      </c>
      <c r="I2622">
        <v>150</v>
      </c>
      <c r="J2622">
        <v>30</v>
      </c>
      <c r="K2622">
        <v>0</v>
      </c>
      <c r="L2622">
        <v>0</v>
      </c>
      <c r="M2622">
        <v>0</v>
      </c>
      <c r="N2622">
        <v>0</v>
      </c>
      <c r="O2622">
        <v>0</v>
      </c>
      <c r="P2622">
        <v>0</v>
      </c>
      <c r="Q2622">
        <v>0</v>
      </c>
      <c r="R2622">
        <v>30</v>
      </c>
      <c r="S2622">
        <v>210</v>
      </c>
      <c r="T2622">
        <v>0</v>
      </c>
      <c r="V2622">
        <v>0</v>
      </c>
      <c r="W2622" t="s">
        <v>3821</v>
      </c>
    </row>
    <row r="2623" spans="1:23" x14ac:dyDescent="0.25">
      <c r="H2623">
        <v>703</v>
      </c>
    </row>
    <row r="2624" spans="1:23" x14ac:dyDescent="0.25">
      <c r="A2624">
        <v>1309</v>
      </c>
      <c r="B2624">
        <v>1786</v>
      </c>
      <c r="C2624" t="s">
        <v>3822</v>
      </c>
      <c r="D2624" t="s">
        <v>61</v>
      </c>
      <c r="E2624" t="s">
        <v>592</v>
      </c>
      <c r="F2624" t="s">
        <v>3823</v>
      </c>
      <c r="G2624" t="str">
        <f>"00230469"</f>
        <v>00230469</v>
      </c>
      <c r="H2624" t="s">
        <v>142</v>
      </c>
      <c r="I2624">
        <v>0</v>
      </c>
      <c r="J2624">
        <v>70</v>
      </c>
      <c r="K2624">
        <v>0</v>
      </c>
      <c r="L2624">
        <v>0</v>
      </c>
      <c r="M2624">
        <v>0</v>
      </c>
      <c r="N2624">
        <v>0</v>
      </c>
      <c r="O2624">
        <v>0</v>
      </c>
      <c r="P2624">
        <v>0</v>
      </c>
      <c r="Q2624">
        <v>0</v>
      </c>
      <c r="R2624">
        <v>13</v>
      </c>
      <c r="S2624">
        <v>91</v>
      </c>
      <c r="T2624">
        <v>0</v>
      </c>
      <c r="V2624">
        <v>0</v>
      </c>
      <c r="W2624" t="s">
        <v>3824</v>
      </c>
    </row>
    <row r="2625" spans="1:23" x14ac:dyDescent="0.25">
      <c r="H2625">
        <v>703</v>
      </c>
    </row>
    <row r="2626" spans="1:23" x14ac:dyDescent="0.25">
      <c r="A2626">
        <v>1310</v>
      </c>
      <c r="B2626">
        <v>510</v>
      </c>
      <c r="C2626" t="s">
        <v>963</v>
      </c>
      <c r="D2626" t="s">
        <v>20</v>
      </c>
      <c r="E2626" t="s">
        <v>91</v>
      </c>
      <c r="F2626" t="s">
        <v>3825</v>
      </c>
      <c r="G2626" t="str">
        <f>"201402005225"</f>
        <v>201402005225</v>
      </c>
      <c r="H2626">
        <v>825</v>
      </c>
      <c r="I2626">
        <v>150</v>
      </c>
      <c r="J2626">
        <v>30</v>
      </c>
      <c r="K2626">
        <v>0</v>
      </c>
      <c r="L2626">
        <v>0</v>
      </c>
      <c r="M2626">
        <v>0</v>
      </c>
      <c r="N2626">
        <v>0</v>
      </c>
      <c r="O2626">
        <v>0</v>
      </c>
      <c r="P2626">
        <v>0</v>
      </c>
      <c r="Q2626">
        <v>0</v>
      </c>
      <c r="R2626">
        <v>31</v>
      </c>
      <c r="S2626">
        <v>217</v>
      </c>
      <c r="T2626">
        <v>0</v>
      </c>
      <c r="V2626">
        <v>0</v>
      </c>
      <c r="W2626">
        <v>1222</v>
      </c>
    </row>
    <row r="2627" spans="1:23" x14ac:dyDescent="0.25">
      <c r="H2627">
        <v>703</v>
      </c>
    </row>
    <row r="2628" spans="1:23" x14ac:dyDescent="0.25">
      <c r="A2628">
        <v>1311</v>
      </c>
      <c r="B2628">
        <v>1021</v>
      </c>
      <c r="C2628" t="s">
        <v>3826</v>
      </c>
      <c r="D2628" t="s">
        <v>3827</v>
      </c>
      <c r="E2628" t="s">
        <v>167</v>
      </c>
      <c r="F2628" t="s">
        <v>3828</v>
      </c>
      <c r="G2628" t="str">
        <f>"00160752"</f>
        <v>00160752</v>
      </c>
      <c r="H2628" t="s">
        <v>177</v>
      </c>
      <c r="I2628">
        <v>0</v>
      </c>
      <c r="J2628">
        <v>70</v>
      </c>
      <c r="K2628">
        <v>0</v>
      </c>
      <c r="L2628">
        <v>70</v>
      </c>
      <c r="M2628">
        <v>0</v>
      </c>
      <c r="N2628">
        <v>0</v>
      </c>
      <c r="O2628">
        <v>0</v>
      </c>
      <c r="P2628">
        <v>0</v>
      </c>
      <c r="Q2628">
        <v>0</v>
      </c>
      <c r="R2628">
        <v>0</v>
      </c>
      <c r="S2628">
        <v>0</v>
      </c>
      <c r="T2628">
        <v>0</v>
      </c>
      <c r="V2628">
        <v>0</v>
      </c>
      <c r="W2628" t="s">
        <v>3829</v>
      </c>
    </row>
    <row r="2629" spans="1:23" x14ac:dyDescent="0.25">
      <c r="H2629" t="s">
        <v>70</v>
      </c>
    </row>
    <row r="2630" spans="1:23" x14ac:dyDescent="0.25">
      <c r="A2630">
        <v>1312</v>
      </c>
      <c r="B2630">
        <v>854</v>
      </c>
      <c r="C2630" t="s">
        <v>3830</v>
      </c>
      <c r="D2630" t="s">
        <v>67</v>
      </c>
      <c r="E2630" t="s">
        <v>109</v>
      </c>
      <c r="F2630" t="s">
        <v>3831</v>
      </c>
      <c r="G2630" t="str">
        <f>"201405001035"</f>
        <v>201405001035</v>
      </c>
      <c r="H2630">
        <v>1045</v>
      </c>
      <c r="I2630">
        <v>0</v>
      </c>
      <c r="J2630">
        <v>70</v>
      </c>
      <c r="K2630">
        <v>0</v>
      </c>
      <c r="L2630">
        <v>50</v>
      </c>
      <c r="M2630">
        <v>0</v>
      </c>
      <c r="N2630">
        <v>0</v>
      </c>
      <c r="O2630">
        <v>0</v>
      </c>
      <c r="P2630">
        <v>0</v>
      </c>
      <c r="Q2630">
        <v>0</v>
      </c>
      <c r="R2630">
        <v>8</v>
      </c>
      <c r="S2630">
        <v>56</v>
      </c>
      <c r="T2630">
        <v>0</v>
      </c>
      <c r="V2630">
        <v>0</v>
      </c>
      <c r="W2630">
        <v>1221</v>
      </c>
    </row>
    <row r="2631" spans="1:23" x14ac:dyDescent="0.25">
      <c r="H2631" t="s">
        <v>70</v>
      </c>
    </row>
    <row r="2632" spans="1:23" x14ac:dyDescent="0.25">
      <c r="A2632">
        <v>1313</v>
      </c>
      <c r="B2632">
        <v>188</v>
      </c>
      <c r="C2632" t="s">
        <v>3832</v>
      </c>
      <c r="D2632" t="s">
        <v>556</v>
      </c>
      <c r="E2632" t="s">
        <v>322</v>
      </c>
      <c r="F2632" t="s">
        <v>3833</v>
      </c>
      <c r="G2632" t="str">
        <f>"00224333"</f>
        <v>00224333</v>
      </c>
      <c r="H2632">
        <v>990</v>
      </c>
      <c r="I2632">
        <v>0</v>
      </c>
      <c r="J2632">
        <v>0</v>
      </c>
      <c r="K2632">
        <v>0</v>
      </c>
      <c r="L2632">
        <v>0</v>
      </c>
      <c r="M2632">
        <v>0</v>
      </c>
      <c r="N2632">
        <v>0</v>
      </c>
      <c r="O2632">
        <v>0</v>
      </c>
      <c r="P2632">
        <v>0</v>
      </c>
      <c r="Q2632">
        <v>0</v>
      </c>
      <c r="R2632">
        <v>33</v>
      </c>
      <c r="S2632">
        <v>231</v>
      </c>
      <c r="T2632">
        <v>0</v>
      </c>
      <c r="V2632">
        <v>3</v>
      </c>
      <c r="W2632">
        <v>1221</v>
      </c>
    </row>
    <row r="2633" spans="1:23" x14ac:dyDescent="0.25">
      <c r="H2633" t="s">
        <v>26</v>
      </c>
    </row>
    <row r="2634" spans="1:23" x14ac:dyDescent="0.25">
      <c r="A2634">
        <v>1314</v>
      </c>
      <c r="B2634">
        <v>154</v>
      </c>
      <c r="C2634" t="s">
        <v>3834</v>
      </c>
      <c r="D2634" t="s">
        <v>3835</v>
      </c>
      <c r="E2634" t="s">
        <v>91</v>
      </c>
      <c r="F2634" t="s">
        <v>3836</v>
      </c>
      <c r="G2634" t="str">
        <f>"00122398"</f>
        <v>00122398</v>
      </c>
      <c r="H2634" t="s">
        <v>73</v>
      </c>
      <c r="I2634">
        <v>0</v>
      </c>
      <c r="J2634">
        <v>70</v>
      </c>
      <c r="K2634">
        <v>70</v>
      </c>
      <c r="L2634">
        <v>30</v>
      </c>
      <c r="M2634">
        <v>0</v>
      </c>
      <c r="N2634">
        <v>0</v>
      </c>
      <c r="O2634">
        <v>0</v>
      </c>
      <c r="P2634">
        <v>0</v>
      </c>
      <c r="Q2634">
        <v>0</v>
      </c>
      <c r="R2634">
        <v>0</v>
      </c>
      <c r="S2634">
        <v>0</v>
      </c>
      <c r="T2634">
        <v>0</v>
      </c>
      <c r="V2634">
        <v>0</v>
      </c>
      <c r="W2634" t="s">
        <v>3837</v>
      </c>
    </row>
    <row r="2635" spans="1:23" x14ac:dyDescent="0.25">
      <c r="H2635" t="s">
        <v>70</v>
      </c>
    </row>
    <row r="2636" spans="1:23" x14ac:dyDescent="0.25">
      <c r="A2636">
        <v>1315</v>
      </c>
      <c r="B2636">
        <v>3095</v>
      </c>
      <c r="C2636" t="s">
        <v>3838</v>
      </c>
      <c r="D2636" t="s">
        <v>3839</v>
      </c>
      <c r="E2636" t="s">
        <v>339</v>
      </c>
      <c r="F2636" t="s">
        <v>3840</v>
      </c>
      <c r="G2636" t="str">
        <f>"00012233"</f>
        <v>00012233</v>
      </c>
      <c r="H2636" t="s">
        <v>73</v>
      </c>
      <c r="I2636">
        <v>0</v>
      </c>
      <c r="J2636">
        <v>70</v>
      </c>
      <c r="K2636">
        <v>30</v>
      </c>
      <c r="L2636">
        <v>70</v>
      </c>
      <c r="M2636">
        <v>0</v>
      </c>
      <c r="N2636">
        <v>0</v>
      </c>
      <c r="O2636">
        <v>0</v>
      </c>
      <c r="P2636">
        <v>0</v>
      </c>
      <c r="Q2636">
        <v>0</v>
      </c>
      <c r="R2636">
        <v>0</v>
      </c>
      <c r="S2636">
        <v>0</v>
      </c>
      <c r="T2636">
        <v>0</v>
      </c>
      <c r="V2636">
        <v>0</v>
      </c>
      <c r="W2636" t="s">
        <v>3837</v>
      </c>
    </row>
    <row r="2637" spans="1:23" x14ac:dyDescent="0.25">
      <c r="H2637" t="s">
        <v>70</v>
      </c>
    </row>
    <row r="2638" spans="1:23" x14ac:dyDescent="0.25">
      <c r="A2638">
        <v>1316</v>
      </c>
      <c r="B2638">
        <v>666</v>
      </c>
      <c r="C2638" t="s">
        <v>2971</v>
      </c>
      <c r="D2638" t="s">
        <v>57</v>
      </c>
      <c r="E2638" t="s">
        <v>15</v>
      </c>
      <c r="F2638" t="s">
        <v>3841</v>
      </c>
      <c r="G2638" t="str">
        <f>"201102001072"</f>
        <v>201102001072</v>
      </c>
      <c r="H2638" t="s">
        <v>1241</v>
      </c>
      <c r="I2638">
        <v>0</v>
      </c>
      <c r="J2638">
        <v>0</v>
      </c>
      <c r="K2638">
        <v>0</v>
      </c>
      <c r="L2638">
        <v>0</v>
      </c>
      <c r="M2638">
        <v>0</v>
      </c>
      <c r="N2638">
        <v>0</v>
      </c>
      <c r="O2638">
        <v>0</v>
      </c>
      <c r="P2638">
        <v>0</v>
      </c>
      <c r="Q2638">
        <v>0</v>
      </c>
      <c r="R2638">
        <v>48</v>
      </c>
      <c r="S2638">
        <v>336</v>
      </c>
      <c r="T2638">
        <v>0</v>
      </c>
      <c r="V2638">
        <v>0</v>
      </c>
      <c r="W2638" t="s">
        <v>3842</v>
      </c>
    </row>
    <row r="2639" spans="1:23" x14ac:dyDescent="0.25">
      <c r="H2639" t="s">
        <v>26</v>
      </c>
    </row>
    <row r="2640" spans="1:23" x14ac:dyDescent="0.25">
      <c r="A2640">
        <v>1317</v>
      </c>
      <c r="B2640">
        <v>542</v>
      </c>
      <c r="C2640" t="s">
        <v>3843</v>
      </c>
      <c r="D2640" t="s">
        <v>248</v>
      </c>
      <c r="E2640" t="s">
        <v>3844</v>
      </c>
      <c r="F2640" t="s">
        <v>3845</v>
      </c>
      <c r="G2640" t="str">
        <f>"00008765"</f>
        <v>00008765</v>
      </c>
      <c r="H2640">
        <v>990</v>
      </c>
      <c r="I2640">
        <v>150</v>
      </c>
      <c r="J2640">
        <v>50</v>
      </c>
      <c r="K2640">
        <v>30</v>
      </c>
      <c r="L2640">
        <v>0</v>
      </c>
      <c r="M2640">
        <v>0</v>
      </c>
      <c r="N2640">
        <v>0</v>
      </c>
      <c r="O2640">
        <v>0</v>
      </c>
      <c r="P2640">
        <v>0</v>
      </c>
      <c r="Q2640">
        <v>0</v>
      </c>
      <c r="R2640">
        <v>0</v>
      </c>
      <c r="S2640">
        <v>0</v>
      </c>
      <c r="T2640">
        <v>0</v>
      </c>
      <c r="V2640">
        <v>0</v>
      </c>
      <c r="W2640">
        <v>1220</v>
      </c>
    </row>
    <row r="2641" spans="1:23" x14ac:dyDescent="0.25">
      <c r="H2641" t="s">
        <v>26</v>
      </c>
    </row>
    <row r="2642" spans="1:23" x14ac:dyDescent="0.25">
      <c r="A2642">
        <v>1318</v>
      </c>
      <c r="B2642">
        <v>1630</v>
      </c>
      <c r="C2642" t="s">
        <v>3846</v>
      </c>
      <c r="D2642" t="s">
        <v>20</v>
      </c>
      <c r="E2642" t="s">
        <v>513</v>
      </c>
      <c r="F2642" t="s">
        <v>3847</v>
      </c>
      <c r="G2642" t="str">
        <f>"201402004142"</f>
        <v>201402004142</v>
      </c>
      <c r="H2642" t="s">
        <v>574</v>
      </c>
      <c r="I2642">
        <v>0</v>
      </c>
      <c r="J2642">
        <v>30</v>
      </c>
      <c r="K2642">
        <v>0</v>
      </c>
      <c r="L2642">
        <v>0</v>
      </c>
      <c r="M2642">
        <v>0</v>
      </c>
      <c r="N2642">
        <v>0</v>
      </c>
      <c r="O2642">
        <v>0</v>
      </c>
      <c r="P2642">
        <v>0</v>
      </c>
      <c r="Q2642">
        <v>0</v>
      </c>
      <c r="R2642">
        <v>40</v>
      </c>
      <c r="S2642">
        <v>280</v>
      </c>
      <c r="T2642">
        <v>0</v>
      </c>
      <c r="V2642">
        <v>0</v>
      </c>
      <c r="W2642" t="s">
        <v>3848</v>
      </c>
    </row>
    <row r="2643" spans="1:23" x14ac:dyDescent="0.25">
      <c r="H2643">
        <v>703</v>
      </c>
    </row>
    <row r="2644" spans="1:23" x14ac:dyDescent="0.25">
      <c r="A2644">
        <v>1319</v>
      </c>
      <c r="B2644">
        <v>1807</v>
      </c>
      <c r="C2644" t="s">
        <v>3849</v>
      </c>
      <c r="D2644" t="s">
        <v>325</v>
      </c>
      <c r="E2644" t="s">
        <v>105</v>
      </c>
      <c r="F2644" t="s">
        <v>3850</v>
      </c>
      <c r="G2644" t="str">
        <f>"00037427"</f>
        <v>00037427</v>
      </c>
      <c r="H2644" t="s">
        <v>281</v>
      </c>
      <c r="I2644">
        <v>150</v>
      </c>
      <c r="J2644">
        <v>30</v>
      </c>
      <c r="K2644">
        <v>0</v>
      </c>
      <c r="L2644">
        <v>0</v>
      </c>
      <c r="M2644">
        <v>0</v>
      </c>
      <c r="N2644">
        <v>0</v>
      </c>
      <c r="O2644">
        <v>0</v>
      </c>
      <c r="P2644">
        <v>0</v>
      </c>
      <c r="Q2644">
        <v>0</v>
      </c>
      <c r="R2644">
        <v>0</v>
      </c>
      <c r="S2644">
        <v>0</v>
      </c>
      <c r="T2644">
        <v>0</v>
      </c>
      <c r="V2644">
        <v>0</v>
      </c>
      <c r="W2644" t="s">
        <v>3851</v>
      </c>
    </row>
    <row r="2645" spans="1:23" x14ac:dyDescent="0.25">
      <c r="H2645">
        <v>703</v>
      </c>
    </row>
    <row r="2646" spans="1:23" x14ac:dyDescent="0.25">
      <c r="A2646">
        <v>1320</v>
      </c>
      <c r="B2646">
        <v>1184</v>
      </c>
      <c r="C2646" t="s">
        <v>3852</v>
      </c>
      <c r="D2646" t="s">
        <v>53</v>
      </c>
      <c r="E2646" t="s">
        <v>62</v>
      </c>
      <c r="F2646" t="s">
        <v>3853</v>
      </c>
      <c r="G2646" t="str">
        <f>"201412003839"</f>
        <v>201412003839</v>
      </c>
      <c r="H2646" t="s">
        <v>1097</v>
      </c>
      <c r="I2646">
        <v>0</v>
      </c>
      <c r="J2646">
        <v>30</v>
      </c>
      <c r="K2646">
        <v>0</v>
      </c>
      <c r="L2646">
        <v>0</v>
      </c>
      <c r="M2646">
        <v>0</v>
      </c>
      <c r="N2646">
        <v>0</v>
      </c>
      <c r="O2646">
        <v>0</v>
      </c>
      <c r="P2646">
        <v>0</v>
      </c>
      <c r="Q2646">
        <v>0</v>
      </c>
      <c r="R2646">
        <v>25</v>
      </c>
      <c r="S2646">
        <v>175</v>
      </c>
      <c r="T2646">
        <v>0</v>
      </c>
      <c r="V2646">
        <v>1</v>
      </c>
      <c r="W2646" t="s">
        <v>3854</v>
      </c>
    </row>
    <row r="2647" spans="1:23" x14ac:dyDescent="0.25">
      <c r="H2647" t="s">
        <v>1984</v>
      </c>
    </row>
    <row r="2648" spans="1:23" x14ac:dyDescent="0.25">
      <c r="A2648">
        <v>1321</v>
      </c>
      <c r="B2648">
        <v>718</v>
      </c>
      <c r="C2648" t="s">
        <v>3855</v>
      </c>
      <c r="D2648" t="s">
        <v>1104</v>
      </c>
      <c r="E2648" t="s">
        <v>79</v>
      </c>
      <c r="F2648" t="s">
        <v>3856</v>
      </c>
      <c r="G2648" t="str">
        <f>"00140636"</f>
        <v>00140636</v>
      </c>
      <c r="H2648" t="s">
        <v>2111</v>
      </c>
      <c r="I2648">
        <v>0</v>
      </c>
      <c r="J2648">
        <v>30</v>
      </c>
      <c r="K2648">
        <v>0</v>
      </c>
      <c r="L2648">
        <v>0</v>
      </c>
      <c r="M2648">
        <v>0</v>
      </c>
      <c r="N2648">
        <v>0</v>
      </c>
      <c r="O2648">
        <v>0</v>
      </c>
      <c r="P2648">
        <v>0</v>
      </c>
      <c r="Q2648">
        <v>0</v>
      </c>
      <c r="R2648">
        <v>35</v>
      </c>
      <c r="S2648">
        <v>245</v>
      </c>
      <c r="T2648">
        <v>0</v>
      </c>
      <c r="V2648">
        <v>0</v>
      </c>
      <c r="W2648" t="s">
        <v>3857</v>
      </c>
    </row>
    <row r="2649" spans="1:23" x14ac:dyDescent="0.25">
      <c r="H2649">
        <v>703</v>
      </c>
    </row>
    <row r="2650" spans="1:23" x14ac:dyDescent="0.25">
      <c r="A2650">
        <v>1322</v>
      </c>
      <c r="B2650">
        <v>1146</v>
      </c>
      <c r="C2650" t="s">
        <v>3858</v>
      </c>
      <c r="D2650" t="s">
        <v>1633</v>
      </c>
      <c r="E2650" t="s">
        <v>53</v>
      </c>
      <c r="F2650" t="s">
        <v>3859</v>
      </c>
      <c r="G2650" t="str">
        <f>"00037940"</f>
        <v>00037940</v>
      </c>
      <c r="H2650" t="s">
        <v>458</v>
      </c>
      <c r="I2650">
        <v>0</v>
      </c>
      <c r="J2650">
        <v>70</v>
      </c>
      <c r="K2650">
        <v>0</v>
      </c>
      <c r="L2650">
        <v>0</v>
      </c>
      <c r="M2650">
        <v>0</v>
      </c>
      <c r="N2650">
        <v>0</v>
      </c>
      <c r="O2650">
        <v>0</v>
      </c>
      <c r="P2650">
        <v>0</v>
      </c>
      <c r="Q2650">
        <v>0</v>
      </c>
      <c r="R2650">
        <v>25</v>
      </c>
      <c r="S2650">
        <v>175</v>
      </c>
      <c r="T2650">
        <v>0</v>
      </c>
      <c r="V2650">
        <v>0</v>
      </c>
      <c r="W2650" t="s">
        <v>3860</v>
      </c>
    </row>
    <row r="2651" spans="1:23" x14ac:dyDescent="0.25">
      <c r="H2651">
        <v>703</v>
      </c>
    </row>
    <row r="2652" spans="1:23" x14ac:dyDescent="0.25">
      <c r="A2652">
        <v>1323</v>
      </c>
      <c r="B2652">
        <v>2958</v>
      </c>
      <c r="C2652" t="s">
        <v>3861</v>
      </c>
      <c r="D2652" t="s">
        <v>20</v>
      </c>
      <c r="E2652" t="s">
        <v>523</v>
      </c>
      <c r="F2652" t="s">
        <v>3862</v>
      </c>
      <c r="G2652" t="str">
        <f>"201406017884"</f>
        <v>201406017884</v>
      </c>
      <c r="H2652" t="s">
        <v>2274</v>
      </c>
      <c r="I2652">
        <v>150</v>
      </c>
      <c r="J2652">
        <v>0</v>
      </c>
      <c r="K2652">
        <v>0</v>
      </c>
      <c r="L2652">
        <v>70</v>
      </c>
      <c r="M2652">
        <v>0</v>
      </c>
      <c r="N2652">
        <v>0</v>
      </c>
      <c r="O2652">
        <v>0</v>
      </c>
      <c r="P2652">
        <v>0</v>
      </c>
      <c r="Q2652">
        <v>0</v>
      </c>
      <c r="R2652">
        <v>12</v>
      </c>
      <c r="S2652">
        <v>84</v>
      </c>
      <c r="T2652">
        <v>0</v>
      </c>
      <c r="V2652">
        <v>2</v>
      </c>
      <c r="W2652" t="s">
        <v>3863</v>
      </c>
    </row>
    <row r="2653" spans="1:23" x14ac:dyDescent="0.25">
      <c r="H2653">
        <v>703</v>
      </c>
    </row>
    <row r="2654" spans="1:23" x14ac:dyDescent="0.25">
      <c r="A2654">
        <v>1324</v>
      </c>
      <c r="B2654">
        <v>1559</v>
      </c>
      <c r="C2654" t="s">
        <v>3864</v>
      </c>
      <c r="D2654" t="s">
        <v>811</v>
      </c>
      <c r="E2654" t="s">
        <v>53</v>
      </c>
      <c r="F2654" t="s">
        <v>3865</v>
      </c>
      <c r="G2654" t="str">
        <f>"201412000025"</f>
        <v>201412000025</v>
      </c>
      <c r="H2654">
        <v>1078</v>
      </c>
      <c r="I2654">
        <v>0</v>
      </c>
      <c r="J2654">
        <v>70</v>
      </c>
      <c r="K2654">
        <v>0</v>
      </c>
      <c r="L2654">
        <v>0</v>
      </c>
      <c r="M2654">
        <v>70</v>
      </c>
      <c r="N2654">
        <v>0</v>
      </c>
      <c r="O2654">
        <v>0</v>
      </c>
      <c r="P2654">
        <v>0</v>
      </c>
      <c r="Q2654">
        <v>0</v>
      </c>
      <c r="R2654">
        <v>0</v>
      </c>
      <c r="S2654">
        <v>0</v>
      </c>
      <c r="T2654">
        <v>0</v>
      </c>
      <c r="V2654">
        <v>0</v>
      </c>
      <c r="W2654">
        <v>1218</v>
      </c>
    </row>
    <row r="2655" spans="1:23" x14ac:dyDescent="0.25">
      <c r="H2655" t="s">
        <v>70</v>
      </c>
    </row>
    <row r="2656" spans="1:23" x14ac:dyDescent="0.25">
      <c r="A2656">
        <v>1325</v>
      </c>
      <c r="B2656">
        <v>1089</v>
      </c>
      <c r="C2656" t="s">
        <v>3866</v>
      </c>
      <c r="D2656" t="s">
        <v>219</v>
      </c>
      <c r="E2656" t="s">
        <v>15</v>
      </c>
      <c r="F2656" t="s">
        <v>3867</v>
      </c>
      <c r="G2656" t="str">
        <f>"00147762"</f>
        <v>00147762</v>
      </c>
      <c r="H2656" t="s">
        <v>142</v>
      </c>
      <c r="I2656">
        <v>0</v>
      </c>
      <c r="J2656">
        <v>70</v>
      </c>
      <c r="K2656">
        <v>30</v>
      </c>
      <c r="L2656">
        <v>0</v>
      </c>
      <c r="M2656">
        <v>0</v>
      </c>
      <c r="N2656">
        <v>0</v>
      </c>
      <c r="O2656">
        <v>0</v>
      </c>
      <c r="P2656">
        <v>0</v>
      </c>
      <c r="Q2656">
        <v>0</v>
      </c>
      <c r="R2656">
        <v>8</v>
      </c>
      <c r="S2656">
        <v>56</v>
      </c>
      <c r="T2656">
        <v>0</v>
      </c>
      <c r="V2656">
        <v>1</v>
      </c>
      <c r="W2656" t="s">
        <v>3868</v>
      </c>
    </row>
    <row r="2657" spans="1:23" x14ac:dyDescent="0.25">
      <c r="H2657" t="s">
        <v>26</v>
      </c>
    </row>
    <row r="2658" spans="1:23" x14ac:dyDescent="0.25">
      <c r="A2658">
        <v>1326</v>
      </c>
      <c r="B2658">
        <v>1720</v>
      </c>
      <c r="C2658" t="s">
        <v>3869</v>
      </c>
      <c r="D2658" t="s">
        <v>185</v>
      </c>
      <c r="E2658" t="s">
        <v>592</v>
      </c>
      <c r="F2658" t="s">
        <v>3870</v>
      </c>
      <c r="G2658" t="str">
        <f>"200712004375"</f>
        <v>200712004375</v>
      </c>
      <c r="H2658" t="s">
        <v>2274</v>
      </c>
      <c r="I2658">
        <v>0</v>
      </c>
      <c r="J2658">
        <v>30</v>
      </c>
      <c r="K2658">
        <v>0</v>
      </c>
      <c r="L2658">
        <v>0</v>
      </c>
      <c r="M2658">
        <v>0</v>
      </c>
      <c r="N2658">
        <v>0</v>
      </c>
      <c r="O2658">
        <v>0</v>
      </c>
      <c r="P2658">
        <v>0</v>
      </c>
      <c r="Q2658">
        <v>0</v>
      </c>
      <c r="R2658">
        <v>39</v>
      </c>
      <c r="S2658">
        <v>273</v>
      </c>
      <c r="T2658">
        <v>0</v>
      </c>
      <c r="V2658">
        <v>0</v>
      </c>
      <c r="W2658" t="s">
        <v>3871</v>
      </c>
    </row>
    <row r="2659" spans="1:23" x14ac:dyDescent="0.25">
      <c r="H2659">
        <v>703</v>
      </c>
    </row>
    <row r="2660" spans="1:23" x14ac:dyDescent="0.25">
      <c r="A2660">
        <v>1327</v>
      </c>
      <c r="B2660">
        <v>2414</v>
      </c>
      <c r="C2660" t="s">
        <v>146</v>
      </c>
      <c r="D2660" t="s">
        <v>1393</v>
      </c>
      <c r="E2660" t="s">
        <v>53</v>
      </c>
      <c r="F2660" t="s">
        <v>3872</v>
      </c>
      <c r="G2660" t="str">
        <f>"201511042914"</f>
        <v>201511042914</v>
      </c>
      <c r="H2660">
        <v>1067</v>
      </c>
      <c r="I2660">
        <v>150</v>
      </c>
      <c r="J2660">
        <v>0</v>
      </c>
      <c r="K2660">
        <v>0</v>
      </c>
      <c r="L2660">
        <v>0</v>
      </c>
      <c r="M2660">
        <v>0</v>
      </c>
      <c r="N2660">
        <v>0</v>
      </c>
      <c r="O2660">
        <v>0</v>
      </c>
      <c r="P2660">
        <v>0</v>
      </c>
      <c r="Q2660">
        <v>0</v>
      </c>
      <c r="R2660">
        <v>0</v>
      </c>
      <c r="S2660">
        <v>0</v>
      </c>
      <c r="T2660">
        <v>0</v>
      </c>
      <c r="V2660">
        <v>0</v>
      </c>
      <c r="W2660">
        <v>1217</v>
      </c>
    </row>
    <row r="2661" spans="1:23" x14ac:dyDescent="0.25">
      <c r="H2661" t="s">
        <v>2316</v>
      </c>
    </row>
    <row r="2662" spans="1:23" x14ac:dyDescent="0.25">
      <c r="A2662">
        <v>1328</v>
      </c>
      <c r="B2662">
        <v>305</v>
      </c>
      <c r="C2662" t="s">
        <v>3873</v>
      </c>
      <c r="D2662" t="s">
        <v>3874</v>
      </c>
      <c r="E2662" t="s">
        <v>76</v>
      </c>
      <c r="F2662" t="s">
        <v>3875</v>
      </c>
      <c r="G2662" t="str">
        <f>"00227839"</f>
        <v>00227839</v>
      </c>
      <c r="H2662">
        <v>924</v>
      </c>
      <c r="I2662">
        <v>150</v>
      </c>
      <c r="J2662">
        <v>30</v>
      </c>
      <c r="K2662">
        <v>0</v>
      </c>
      <c r="L2662">
        <v>0</v>
      </c>
      <c r="M2662">
        <v>0</v>
      </c>
      <c r="N2662">
        <v>0</v>
      </c>
      <c r="O2662">
        <v>0</v>
      </c>
      <c r="P2662">
        <v>0</v>
      </c>
      <c r="Q2662">
        <v>0</v>
      </c>
      <c r="R2662">
        <v>16</v>
      </c>
      <c r="S2662">
        <v>112</v>
      </c>
      <c r="T2662">
        <v>0</v>
      </c>
      <c r="V2662">
        <v>0</v>
      </c>
      <c r="W2662">
        <v>1216</v>
      </c>
    </row>
    <row r="2663" spans="1:23" x14ac:dyDescent="0.25">
      <c r="H2663" t="s">
        <v>26</v>
      </c>
    </row>
    <row r="2664" spans="1:23" x14ac:dyDescent="0.25">
      <c r="A2664">
        <v>1329</v>
      </c>
      <c r="B2664">
        <v>1470</v>
      </c>
      <c r="C2664" t="s">
        <v>3876</v>
      </c>
      <c r="D2664" t="s">
        <v>28</v>
      </c>
      <c r="E2664" t="s">
        <v>99</v>
      </c>
      <c r="F2664" t="s">
        <v>3877</v>
      </c>
      <c r="G2664" t="str">
        <f>"00119742"</f>
        <v>00119742</v>
      </c>
      <c r="H2664">
        <v>1045</v>
      </c>
      <c r="I2664">
        <v>0</v>
      </c>
      <c r="J2664">
        <v>0</v>
      </c>
      <c r="K2664">
        <v>0</v>
      </c>
      <c r="L2664">
        <v>30</v>
      </c>
      <c r="M2664">
        <v>0</v>
      </c>
      <c r="N2664">
        <v>0</v>
      </c>
      <c r="O2664">
        <v>0</v>
      </c>
      <c r="P2664">
        <v>0</v>
      </c>
      <c r="Q2664">
        <v>0</v>
      </c>
      <c r="R2664">
        <v>20</v>
      </c>
      <c r="S2664">
        <v>140</v>
      </c>
      <c r="T2664">
        <v>0</v>
      </c>
      <c r="V2664">
        <v>0</v>
      </c>
      <c r="W2664">
        <v>1215</v>
      </c>
    </row>
    <row r="2665" spans="1:23" x14ac:dyDescent="0.25">
      <c r="H2665">
        <v>703</v>
      </c>
    </row>
    <row r="2666" spans="1:23" x14ac:dyDescent="0.25">
      <c r="A2666">
        <v>1330</v>
      </c>
      <c r="B2666">
        <v>1804</v>
      </c>
      <c r="C2666" t="s">
        <v>3878</v>
      </c>
      <c r="D2666" t="s">
        <v>3879</v>
      </c>
      <c r="E2666" t="s">
        <v>91</v>
      </c>
      <c r="F2666" t="s">
        <v>3880</v>
      </c>
      <c r="G2666" t="str">
        <f>"00191376"</f>
        <v>00191376</v>
      </c>
      <c r="H2666">
        <v>1045</v>
      </c>
      <c r="I2666">
        <v>0</v>
      </c>
      <c r="J2666">
        <v>70</v>
      </c>
      <c r="K2666">
        <v>70</v>
      </c>
      <c r="L2666">
        <v>0</v>
      </c>
      <c r="M2666">
        <v>30</v>
      </c>
      <c r="N2666">
        <v>0</v>
      </c>
      <c r="O2666">
        <v>0</v>
      </c>
      <c r="P2666">
        <v>0</v>
      </c>
      <c r="Q2666">
        <v>0</v>
      </c>
      <c r="R2666">
        <v>0</v>
      </c>
      <c r="S2666">
        <v>0</v>
      </c>
      <c r="T2666">
        <v>0</v>
      </c>
      <c r="V2666">
        <v>0</v>
      </c>
      <c r="W2666">
        <v>1215</v>
      </c>
    </row>
    <row r="2667" spans="1:23" x14ac:dyDescent="0.25">
      <c r="H2667" t="s">
        <v>70</v>
      </c>
    </row>
    <row r="2668" spans="1:23" x14ac:dyDescent="0.25">
      <c r="A2668">
        <v>1331</v>
      </c>
      <c r="B2668">
        <v>2680</v>
      </c>
      <c r="C2668" t="s">
        <v>3881</v>
      </c>
      <c r="D2668" t="s">
        <v>2851</v>
      </c>
      <c r="E2668" t="s">
        <v>53</v>
      </c>
      <c r="F2668" t="s">
        <v>3882</v>
      </c>
      <c r="G2668" t="str">
        <f>"00209247"</f>
        <v>00209247</v>
      </c>
      <c r="H2668">
        <v>1045</v>
      </c>
      <c r="I2668">
        <v>0</v>
      </c>
      <c r="J2668">
        <v>70</v>
      </c>
      <c r="K2668">
        <v>30</v>
      </c>
      <c r="L2668">
        <v>0</v>
      </c>
      <c r="M2668">
        <v>0</v>
      </c>
      <c r="N2668">
        <v>0</v>
      </c>
      <c r="O2668">
        <v>0</v>
      </c>
      <c r="P2668">
        <v>70</v>
      </c>
      <c r="Q2668">
        <v>0</v>
      </c>
      <c r="R2668">
        <v>0</v>
      </c>
      <c r="S2668">
        <v>0</v>
      </c>
      <c r="T2668">
        <v>0</v>
      </c>
      <c r="V2668">
        <v>0</v>
      </c>
      <c r="W2668">
        <v>1215</v>
      </c>
    </row>
    <row r="2669" spans="1:23" x14ac:dyDescent="0.25">
      <c r="H2669">
        <v>703</v>
      </c>
    </row>
    <row r="2670" spans="1:23" x14ac:dyDescent="0.25">
      <c r="A2670">
        <v>1332</v>
      </c>
      <c r="B2670">
        <v>2310</v>
      </c>
      <c r="C2670" t="s">
        <v>3883</v>
      </c>
      <c r="D2670" t="s">
        <v>46</v>
      </c>
      <c r="E2670" t="s">
        <v>2180</v>
      </c>
      <c r="F2670" t="s">
        <v>3884</v>
      </c>
      <c r="G2670" t="str">
        <f>"00020090"</f>
        <v>00020090</v>
      </c>
      <c r="H2670" t="s">
        <v>1591</v>
      </c>
      <c r="I2670">
        <v>0</v>
      </c>
      <c r="J2670">
        <v>70</v>
      </c>
      <c r="K2670">
        <v>70</v>
      </c>
      <c r="L2670">
        <v>0</v>
      </c>
      <c r="M2670">
        <v>0</v>
      </c>
      <c r="N2670">
        <v>0</v>
      </c>
      <c r="O2670">
        <v>0</v>
      </c>
      <c r="P2670">
        <v>0</v>
      </c>
      <c r="Q2670">
        <v>0</v>
      </c>
      <c r="R2670">
        <v>0</v>
      </c>
      <c r="S2670">
        <v>0</v>
      </c>
      <c r="T2670">
        <v>0</v>
      </c>
      <c r="V2670">
        <v>0</v>
      </c>
      <c r="W2670" t="s">
        <v>3885</v>
      </c>
    </row>
    <row r="2671" spans="1:23" x14ac:dyDescent="0.25">
      <c r="H2671" t="s">
        <v>70</v>
      </c>
    </row>
    <row r="2672" spans="1:23" x14ac:dyDescent="0.25">
      <c r="A2672">
        <v>1333</v>
      </c>
      <c r="B2672">
        <v>1099</v>
      </c>
      <c r="C2672" t="s">
        <v>3886</v>
      </c>
      <c r="D2672" t="s">
        <v>2952</v>
      </c>
      <c r="E2672" t="s">
        <v>1383</v>
      </c>
      <c r="F2672" t="s">
        <v>3887</v>
      </c>
      <c r="G2672" t="str">
        <f>"201406004844"</f>
        <v>201406004844</v>
      </c>
      <c r="H2672">
        <v>1034</v>
      </c>
      <c r="I2672">
        <v>150</v>
      </c>
      <c r="J2672">
        <v>30</v>
      </c>
      <c r="K2672">
        <v>0</v>
      </c>
      <c r="L2672">
        <v>0</v>
      </c>
      <c r="M2672">
        <v>0</v>
      </c>
      <c r="N2672">
        <v>0</v>
      </c>
      <c r="O2672">
        <v>0</v>
      </c>
      <c r="P2672">
        <v>0</v>
      </c>
      <c r="Q2672">
        <v>0</v>
      </c>
      <c r="R2672">
        <v>0</v>
      </c>
      <c r="S2672">
        <v>0</v>
      </c>
      <c r="T2672">
        <v>0</v>
      </c>
      <c r="V2672">
        <v>0</v>
      </c>
      <c r="W2672">
        <v>1214</v>
      </c>
    </row>
    <row r="2673" spans="1:23" x14ac:dyDescent="0.25">
      <c r="H2673">
        <v>703</v>
      </c>
    </row>
    <row r="2674" spans="1:23" x14ac:dyDescent="0.25">
      <c r="A2674">
        <v>1334</v>
      </c>
      <c r="B2674">
        <v>2324</v>
      </c>
      <c r="C2674" t="s">
        <v>3888</v>
      </c>
      <c r="D2674" t="s">
        <v>20</v>
      </c>
      <c r="E2674" t="s">
        <v>76</v>
      </c>
      <c r="F2674" t="s">
        <v>3889</v>
      </c>
      <c r="G2674" t="str">
        <f>"201405000143"</f>
        <v>201405000143</v>
      </c>
      <c r="H2674">
        <v>924</v>
      </c>
      <c r="I2674">
        <v>150</v>
      </c>
      <c r="J2674">
        <v>70</v>
      </c>
      <c r="K2674">
        <v>0</v>
      </c>
      <c r="L2674">
        <v>0</v>
      </c>
      <c r="M2674">
        <v>0</v>
      </c>
      <c r="N2674">
        <v>0</v>
      </c>
      <c r="O2674">
        <v>0</v>
      </c>
      <c r="P2674">
        <v>0</v>
      </c>
      <c r="Q2674">
        <v>0</v>
      </c>
      <c r="R2674">
        <v>10</v>
      </c>
      <c r="S2674">
        <v>70</v>
      </c>
      <c r="T2674">
        <v>0</v>
      </c>
      <c r="V2674">
        <v>0</v>
      </c>
      <c r="W2674">
        <v>1214</v>
      </c>
    </row>
    <row r="2675" spans="1:23" x14ac:dyDescent="0.25">
      <c r="H2675">
        <v>703</v>
      </c>
    </row>
    <row r="2676" spans="1:23" x14ac:dyDescent="0.25">
      <c r="A2676">
        <v>1335</v>
      </c>
      <c r="B2676">
        <v>2220</v>
      </c>
      <c r="C2676" t="s">
        <v>3890</v>
      </c>
      <c r="D2676" t="s">
        <v>3891</v>
      </c>
      <c r="E2676" t="s">
        <v>3892</v>
      </c>
      <c r="F2676" t="s">
        <v>3893</v>
      </c>
      <c r="G2676" t="str">
        <f>"00014537"</f>
        <v>00014537</v>
      </c>
      <c r="H2676" t="s">
        <v>202</v>
      </c>
      <c r="I2676">
        <v>150</v>
      </c>
      <c r="J2676">
        <v>30</v>
      </c>
      <c r="K2676">
        <v>0</v>
      </c>
      <c r="L2676">
        <v>0</v>
      </c>
      <c r="M2676">
        <v>0</v>
      </c>
      <c r="N2676">
        <v>0</v>
      </c>
      <c r="O2676">
        <v>0</v>
      </c>
      <c r="P2676">
        <v>0</v>
      </c>
      <c r="Q2676">
        <v>0</v>
      </c>
      <c r="R2676">
        <v>7</v>
      </c>
      <c r="S2676">
        <v>49</v>
      </c>
      <c r="T2676">
        <v>0</v>
      </c>
      <c r="V2676">
        <v>0</v>
      </c>
      <c r="W2676" t="s">
        <v>3894</v>
      </c>
    </row>
    <row r="2677" spans="1:23" x14ac:dyDescent="0.25">
      <c r="H2677">
        <v>703</v>
      </c>
    </row>
    <row r="2678" spans="1:23" x14ac:dyDescent="0.25">
      <c r="A2678">
        <v>1336</v>
      </c>
      <c r="B2678">
        <v>24</v>
      </c>
      <c r="C2678" t="s">
        <v>3895</v>
      </c>
      <c r="D2678" t="s">
        <v>58</v>
      </c>
      <c r="E2678" t="s">
        <v>227</v>
      </c>
      <c r="F2678" t="s">
        <v>3896</v>
      </c>
      <c r="G2678" t="str">
        <f>"201511028741"</f>
        <v>201511028741</v>
      </c>
      <c r="H2678" t="s">
        <v>764</v>
      </c>
      <c r="I2678">
        <v>0</v>
      </c>
      <c r="J2678">
        <v>70</v>
      </c>
      <c r="K2678">
        <v>0</v>
      </c>
      <c r="L2678">
        <v>0</v>
      </c>
      <c r="M2678">
        <v>0</v>
      </c>
      <c r="N2678">
        <v>0</v>
      </c>
      <c r="O2678">
        <v>0</v>
      </c>
      <c r="P2678">
        <v>0</v>
      </c>
      <c r="Q2678">
        <v>0</v>
      </c>
      <c r="R2678">
        <v>12</v>
      </c>
      <c r="S2678">
        <v>84</v>
      </c>
      <c r="T2678">
        <v>0</v>
      </c>
      <c r="V2678">
        <v>0</v>
      </c>
      <c r="W2678" t="s">
        <v>3897</v>
      </c>
    </row>
    <row r="2679" spans="1:23" x14ac:dyDescent="0.25">
      <c r="H2679">
        <v>703</v>
      </c>
    </row>
    <row r="2680" spans="1:23" x14ac:dyDescent="0.25">
      <c r="A2680">
        <v>1337</v>
      </c>
      <c r="B2680">
        <v>1468</v>
      </c>
      <c r="C2680" t="s">
        <v>3898</v>
      </c>
      <c r="D2680" t="s">
        <v>28</v>
      </c>
      <c r="E2680" t="s">
        <v>15</v>
      </c>
      <c r="F2680" t="s">
        <v>3899</v>
      </c>
      <c r="G2680" t="str">
        <f>"201412002074"</f>
        <v>201412002074</v>
      </c>
      <c r="H2680">
        <v>1001</v>
      </c>
      <c r="I2680">
        <v>0</v>
      </c>
      <c r="J2680">
        <v>30</v>
      </c>
      <c r="K2680">
        <v>0</v>
      </c>
      <c r="L2680">
        <v>0</v>
      </c>
      <c r="M2680">
        <v>0</v>
      </c>
      <c r="N2680">
        <v>0</v>
      </c>
      <c r="O2680">
        <v>0</v>
      </c>
      <c r="P2680">
        <v>0</v>
      </c>
      <c r="Q2680">
        <v>0</v>
      </c>
      <c r="R2680">
        <v>26</v>
      </c>
      <c r="S2680">
        <v>182</v>
      </c>
      <c r="T2680">
        <v>0</v>
      </c>
      <c r="V2680">
        <v>0</v>
      </c>
      <c r="W2680">
        <v>1213</v>
      </c>
    </row>
    <row r="2681" spans="1:23" x14ac:dyDescent="0.25">
      <c r="H2681">
        <v>703</v>
      </c>
    </row>
    <row r="2682" spans="1:23" x14ac:dyDescent="0.25">
      <c r="A2682">
        <v>1338</v>
      </c>
      <c r="B2682">
        <v>1446</v>
      </c>
      <c r="C2682" t="s">
        <v>3900</v>
      </c>
      <c r="D2682" t="s">
        <v>3901</v>
      </c>
      <c r="E2682" t="s">
        <v>424</v>
      </c>
      <c r="F2682" t="s">
        <v>3902</v>
      </c>
      <c r="G2682" t="str">
        <f>"00129860"</f>
        <v>00129860</v>
      </c>
      <c r="H2682" t="s">
        <v>137</v>
      </c>
      <c r="I2682">
        <v>0</v>
      </c>
      <c r="J2682">
        <v>70</v>
      </c>
      <c r="K2682">
        <v>70</v>
      </c>
      <c r="L2682">
        <v>0</v>
      </c>
      <c r="M2682">
        <v>0</v>
      </c>
      <c r="N2682">
        <v>0</v>
      </c>
      <c r="O2682">
        <v>0</v>
      </c>
      <c r="P2682">
        <v>0</v>
      </c>
      <c r="Q2682">
        <v>0</v>
      </c>
      <c r="R2682">
        <v>0</v>
      </c>
      <c r="S2682">
        <v>0</v>
      </c>
      <c r="T2682">
        <v>0</v>
      </c>
      <c r="V2682">
        <v>0</v>
      </c>
      <c r="W2682" t="s">
        <v>3903</v>
      </c>
    </row>
    <row r="2683" spans="1:23" x14ac:dyDescent="0.25">
      <c r="H2683" t="s">
        <v>70</v>
      </c>
    </row>
    <row r="2684" spans="1:23" x14ac:dyDescent="0.25">
      <c r="A2684">
        <v>1339</v>
      </c>
      <c r="B2684">
        <v>971</v>
      </c>
      <c r="C2684" t="s">
        <v>3904</v>
      </c>
      <c r="D2684" t="s">
        <v>273</v>
      </c>
      <c r="E2684" t="s">
        <v>15</v>
      </c>
      <c r="F2684" t="s">
        <v>3905</v>
      </c>
      <c r="G2684" t="str">
        <f>"00222733"</f>
        <v>00222733</v>
      </c>
      <c r="H2684" t="s">
        <v>137</v>
      </c>
      <c r="I2684">
        <v>0</v>
      </c>
      <c r="J2684">
        <v>70</v>
      </c>
      <c r="K2684">
        <v>70</v>
      </c>
      <c r="L2684">
        <v>0</v>
      </c>
      <c r="M2684">
        <v>0</v>
      </c>
      <c r="N2684">
        <v>0</v>
      </c>
      <c r="O2684">
        <v>0</v>
      </c>
      <c r="P2684">
        <v>0</v>
      </c>
      <c r="Q2684">
        <v>0</v>
      </c>
      <c r="R2684">
        <v>0</v>
      </c>
      <c r="S2684">
        <v>0</v>
      </c>
      <c r="T2684">
        <v>0</v>
      </c>
      <c r="V2684">
        <v>0</v>
      </c>
      <c r="W2684" t="s">
        <v>3903</v>
      </c>
    </row>
    <row r="2685" spans="1:23" x14ac:dyDescent="0.25">
      <c r="H2685" t="s">
        <v>70</v>
      </c>
    </row>
    <row r="2686" spans="1:23" x14ac:dyDescent="0.25">
      <c r="A2686">
        <v>1340</v>
      </c>
      <c r="B2686">
        <v>294</v>
      </c>
      <c r="C2686" t="s">
        <v>3906</v>
      </c>
      <c r="D2686" t="s">
        <v>1846</v>
      </c>
      <c r="E2686" t="s">
        <v>62</v>
      </c>
      <c r="F2686" t="s">
        <v>3907</v>
      </c>
      <c r="G2686" t="str">
        <f>"201605000202"</f>
        <v>201605000202</v>
      </c>
      <c r="H2686" t="s">
        <v>137</v>
      </c>
      <c r="I2686">
        <v>0</v>
      </c>
      <c r="J2686">
        <v>70</v>
      </c>
      <c r="K2686">
        <v>70</v>
      </c>
      <c r="L2686">
        <v>0</v>
      </c>
      <c r="M2686">
        <v>0</v>
      </c>
      <c r="N2686">
        <v>0</v>
      </c>
      <c r="O2686">
        <v>0</v>
      </c>
      <c r="P2686">
        <v>0</v>
      </c>
      <c r="Q2686">
        <v>0</v>
      </c>
      <c r="R2686">
        <v>0</v>
      </c>
      <c r="S2686">
        <v>0</v>
      </c>
      <c r="T2686">
        <v>0</v>
      </c>
      <c r="V2686">
        <v>0</v>
      </c>
      <c r="W2686" t="s">
        <v>3903</v>
      </c>
    </row>
    <row r="2687" spans="1:23" x14ac:dyDescent="0.25">
      <c r="H2687" t="s">
        <v>70</v>
      </c>
    </row>
    <row r="2688" spans="1:23" x14ac:dyDescent="0.25">
      <c r="A2688">
        <v>1341</v>
      </c>
      <c r="B2688">
        <v>2879</v>
      </c>
      <c r="C2688" t="s">
        <v>3908</v>
      </c>
      <c r="D2688" t="s">
        <v>14</v>
      </c>
      <c r="E2688" t="s">
        <v>607</v>
      </c>
      <c r="F2688" t="s">
        <v>3909</v>
      </c>
      <c r="G2688" t="str">
        <f>"201511032091"</f>
        <v>201511032091</v>
      </c>
      <c r="H2688" t="s">
        <v>1014</v>
      </c>
      <c r="I2688">
        <v>0</v>
      </c>
      <c r="J2688">
        <v>30</v>
      </c>
      <c r="K2688">
        <v>0</v>
      </c>
      <c r="L2688">
        <v>0</v>
      </c>
      <c r="M2688">
        <v>0</v>
      </c>
      <c r="N2688">
        <v>0</v>
      </c>
      <c r="O2688">
        <v>0</v>
      </c>
      <c r="P2688">
        <v>0</v>
      </c>
      <c r="Q2688">
        <v>0</v>
      </c>
      <c r="R2688">
        <v>44</v>
      </c>
      <c r="S2688">
        <v>308</v>
      </c>
      <c r="T2688">
        <v>0</v>
      </c>
      <c r="V2688">
        <v>0</v>
      </c>
      <c r="W2688" t="s">
        <v>3903</v>
      </c>
    </row>
    <row r="2689" spans="1:23" x14ac:dyDescent="0.25">
      <c r="H2689">
        <v>703</v>
      </c>
    </row>
    <row r="2690" spans="1:23" x14ac:dyDescent="0.25">
      <c r="A2690">
        <v>1342</v>
      </c>
      <c r="B2690">
        <v>1322</v>
      </c>
      <c r="C2690" t="s">
        <v>3910</v>
      </c>
      <c r="D2690" t="s">
        <v>36</v>
      </c>
      <c r="E2690" t="s">
        <v>53</v>
      </c>
      <c r="F2690">
        <v>344619</v>
      </c>
      <c r="G2690" t="str">
        <f>"00205695"</f>
        <v>00205695</v>
      </c>
      <c r="H2690">
        <v>1100</v>
      </c>
      <c r="I2690">
        <v>0</v>
      </c>
      <c r="J2690">
        <v>0</v>
      </c>
      <c r="K2690">
        <v>0</v>
      </c>
      <c r="L2690">
        <v>0</v>
      </c>
      <c r="M2690">
        <v>0</v>
      </c>
      <c r="N2690">
        <v>0</v>
      </c>
      <c r="O2690">
        <v>0</v>
      </c>
      <c r="P2690">
        <v>0</v>
      </c>
      <c r="Q2690">
        <v>0</v>
      </c>
      <c r="R2690">
        <v>16</v>
      </c>
      <c r="S2690">
        <v>112</v>
      </c>
      <c r="T2690">
        <v>0</v>
      </c>
      <c r="V2690">
        <v>0</v>
      </c>
      <c r="W2690">
        <v>1212</v>
      </c>
    </row>
    <row r="2691" spans="1:23" x14ac:dyDescent="0.25">
      <c r="H2691">
        <v>703</v>
      </c>
    </row>
    <row r="2692" spans="1:23" x14ac:dyDescent="0.25">
      <c r="A2692">
        <v>1343</v>
      </c>
      <c r="B2692">
        <v>1461</v>
      </c>
      <c r="C2692" t="s">
        <v>3911</v>
      </c>
      <c r="D2692" t="s">
        <v>254</v>
      </c>
      <c r="E2692" t="s">
        <v>303</v>
      </c>
      <c r="F2692" t="s">
        <v>3912</v>
      </c>
      <c r="G2692" t="str">
        <f>"00222755"</f>
        <v>00222755</v>
      </c>
      <c r="H2692">
        <v>1012</v>
      </c>
      <c r="I2692">
        <v>150</v>
      </c>
      <c r="J2692">
        <v>50</v>
      </c>
      <c r="K2692">
        <v>0</v>
      </c>
      <c r="L2692">
        <v>0</v>
      </c>
      <c r="M2692">
        <v>0</v>
      </c>
      <c r="N2692">
        <v>0</v>
      </c>
      <c r="O2692">
        <v>0</v>
      </c>
      <c r="P2692">
        <v>0</v>
      </c>
      <c r="Q2692">
        <v>0</v>
      </c>
      <c r="R2692">
        <v>0</v>
      </c>
      <c r="S2692">
        <v>0</v>
      </c>
      <c r="T2692">
        <v>0</v>
      </c>
      <c r="V2692">
        <v>0</v>
      </c>
      <c r="W2692">
        <v>1212</v>
      </c>
    </row>
    <row r="2693" spans="1:23" x14ac:dyDescent="0.25">
      <c r="H2693">
        <v>703</v>
      </c>
    </row>
    <row r="2694" spans="1:23" x14ac:dyDescent="0.25">
      <c r="A2694">
        <v>1344</v>
      </c>
      <c r="B2694">
        <v>1483</v>
      </c>
      <c r="C2694" t="s">
        <v>3913</v>
      </c>
      <c r="D2694" t="s">
        <v>527</v>
      </c>
      <c r="E2694" t="s">
        <v>350</v>
      </c>
      <c r="F2694" t="s">
        <v>3914</v>
      </c>
      <c r="G2694" t="str">
        <f>"00193201"</f>
        <v>00193201</v>
      </c>
      <c r="H2694">
        <v>902</v>
      </c>
      <c r="I2694">
        <v>0</v>
      </c>
      <c r="J2694">
        <v>70</v>
      </c>
      <c r="K2694">
        <v>0</v>
      </c>
      <c r="L2694">
        <v>0</v>
      </c>
      <c r="M2694">
        <v>30</v>
      </c>
      <c r="N2694">
        <v>0</v>
      </c>
      <c r="O2694">
        <v>0</v>
      </c>
      <c r="P2694">
        <v>0</v>
      </c>
      <c r="Q2694">
        <v>0</v>
      </c>
      <c r="R2694">
        <v>30</v>
      </c>
      <c r="S2694">
        <v>210</v>
      </c>
      <c r="T2694">
        <v>0</v>
      </c>
      <c r="V2694">
        <v>0</v>
      </c>
      <c r="W2694">
        <v>1212</v>
      </c>
    </row>
    <row r="2695" spans="1:23" x14ac:dyDescent="0.25">
      <c r="H2695" t="s">
        <v>70</v>
      </c>
    </row>
    <row r="2696" spans="1:23" x14ac:dyDescent="0.25">
      <c r="A2696">
        <v>1345</v>
      </c>
      <c r="B2696">
        <v>975</v>
      </c>
      <c r="C2696" t="s">
        <v>3915</v>
      </c>
      <c r="D2696" t="s">
        <v>40</v>
      </c>
      <c r="E2696" t="s">
        <v>53</v>
      </c>
      <c r="F2696" t="s">
        <v>3916</v>
      </c>
      <c r="G2696" t="str">
        <f>"201510003833"</f>
        <v>201510003833</v>
      </c>
      <c r="H2696" t="s">
        <v>3917</v>
      </c>
      <c r="I2696">
        <v>0</v>
      </c>
      <c r="J2696">
        <v>0</v>
      </c>
      <c r="K2696">
        <v>0</v>
      </c>
      <c r="L2696">
        <v>0</v>
      </c>
      <c r="M2696">
        <v>0</v>
      </c>
      <c r="N2696">
        <v>0</v>
      </c>
      <c r="O2696">
        <v>0</v>
      </c>
      <c r="P2696">
        <v>0</v>
      </c>
      <c r="Q2696">
        <v>0</v>
      </c>
      <c r="R2696">
        <v>70</v>
      </c>
      <c r="S2696">
        <v>490</v>
      </c>
      <c r="T2696">
        <v>0</v>
      </c>
      <c r="V2696">
        <v>1</v>
      </c>
      <c r="W2696" t="s">
        <v>3918</v>
      </c>
    </row>
    <row r="2697" spans="1:23" x14ac:dyDescent="0.25">
      <c r="H2697">
        <v>703</v>
      </c>
    </row>
    <row r="2698" spans="1:23" x14ac:dyDescent="0.25">
      <c r="A2698">
        <v>1346</v>
      </c>
      <c r="B2698">
        <v>1311</v>
      </c>
      <c r="C2698" t="s">
        <v>3919</v>
      </c>
      <c r="D2698" t="s">
        <v>20</v>
      </c>
      <c r="E2698" t="s">
        <v>1813</v>
      </c>
      <c r="F2698" t="s">
        <v>3920</v>
      </c>
      <c r="G2698" t="str">
        <f>"201412006012"</f>
        <v>201412006012</v>
      </c>
      <c r="H2698" t="s">
        <v>3921</v>
      </c>
      <c r="I2698">
        <v>0</v>
      </c>
      <c r="J2698">
        <v>30</v>
      </c>
      <c r="K2698">
        <v>0</v>
      </c>
      <c r="L2698">
        <v>0</v>
      </c>
      <c r="M2698">
        <v>0</v>
      </c>
      <c r="N2698">
        <v>0</v>
      </c>
      <c r="O2698">
        <v>0</v>
      </c>
      <c r="P2698">
        <v>0</v>
      </c>
      <c r="Q2698">
        <v>0</v>
      </c>
      <c r="R2698">
        <v>78</v>
      </c>
      <c r="S2698">
        <v>546</v>
      </c>
      <c r="T2698">
        <v>0</v>
      </c>
      <c r="V2698">
        <v>0</v>
      </c>
      <c r="W2698" t="s">
        <v>3922</v>
      </c>
    </row>
    <row r="2699" spans="1:23" x14ac:dyDescent="0.25">
      <c r="H2699" t="s">
        <v>3704</v>
      </c>
    </row>
    <row r="2700" spans="1:23" x14ac:dyDescent="0.25">
      <c r="A2700">
        <v>1347</v>
      </c>
      <c r="B2700">
        <v>2593</v>
      </c>
      <c r="C2700" t="s">
        <v>3923</v>
      </c>
      <c r="D2700" t="s">
        <v>3924</v>
      </c>
      <c r="E2700" t="s">
        <v>53</v>
      </c>
      <c r="F2700" t="s">
        <v>3925</v>
      </c>
      <c r="G2700" t="str">
        <f>"00131698"</f>
        <v>00131698</v>
      </c>
      <c r="H2700" t="s">
        <v>2235</v>
      </c>
      <c r="I2700">
        <v>0</v>
      </c>
      <c r="J2700">
        <v>70</v>
      </c>
      <c r="K2700">
        <v>0</v>
      </c>
      <c r="L2700">
        <v>30</v>
      </c>
      <c r="M2700">
        <v>0</v>
      </c>
      <c r="N2700">
        <v>0</v>
      </c>
      <c r="O2700">
        <v>0</v>
      </c>
      <c r="P2700">
        <v>0</v>
      </c>
      <c r="Q2700">
        <v>0</v>
      </c>
      <c r="R2700">
        <v>38</v>
      </c>
      <c r="S2700">
        <v>266</v>
      </c>
      <c r="T2700">
        <v>0</v>
      </c>
      <c r="V2700">
        <v>0</v>
      </c>
      <c r="W2700" t="s">
        <v>3926</v>
      </c>
    </row>
    <row r="2701" spans="1:23" x14ac:dyDescent="0.25">
      <c r="H2701" t="s">
        <v>70</v>
      </c>
    </row>
    <row r="2702" spans="1:23" x14ac:dyDescent="0.25">
      <c r="A2702">
        <v>1348</v>
      </c>
      <c r="B2702">
        <v>3153</v>
      </c>
      <c r="C2702" t="s">
        <v>3927</v>
      </c>
      <c r="D2702" t="s">
        <v>697</v>
      </c>
      <c r="E2702" t="s">
        <v>109</v>
      </c>
      <c r="F2702" t="s">
        <v>3928</v>
      </c>
      <c r="G2702" t="str">
        <f>"00229862"</f>
        <v>00229862</v>
      </c>
      <c r="H2702">
        <v>770</v>
      </c>
      <c r="I2702">
        <v>150</v>
      </c>
      <c r="J2702">
        <v>70</v>
      </c>
      <c r="K2702">
        <v>0</v>
      </c>
      <c r="L2702">
        <v>0</v>
      </c>
      <c r="M2702">
        <v>0</v>
      </c>
      <c r="N2702">
        <v>0</v>
      </c>
      <c r="O2702">
        <v>0</v>
      </c>
      <c r="P2702">
        <v>0</v>
      </c>
      <c r="Q2702">
        <v>0</v>
      </c>
      <c r="R2702">
        <v>31</v>
      </c>
      <c r="S2702">
        <v>217</v>
      </c>
      <c r="T2702">
        <v>0</v>
      </c>
      <c r="V2702">
        <v>0</v>
      </c>
      <c r="W2702">
        <v>1207</v>
      </c>
    </row>
    <row r="2703" spans="1:23" x14ac:dyDescent="0.25">
      <c r="H2703" t="s">
        <v>70</v>
      </c>
    </row>
    <row r="2704" spans="1:23" x14ac:dyDescent="0.25">
      <c r="A2704">
        <v>1349</v>
      </c>
      <c r="B2704">
        <v>78</v>
      </c>
      <c r="C2704" t="s">
        <v>3929</v>
      </c>
      <c r="D2704" t="s">
        <v>112</v>
      </c>
      <c r="E2704" t="s">
        <v>53</v>
      </c>
      <c r="F2704" t="s">
        <v>3930</v>
      </c>
      <c r="G2704" t="str">
        <f>"00230499"</f>
        <v>00230499</v>
      </c>
      <c r="H2704" t="s">
        <v>237</v>
      </c>
      <c r="I2704">
        <v>150</v>
      </c>
      <c r="J2704">
        <v>50</v>
      </c>
      <c r="K2704">
        <v>0</v>
      </c>
      <c r="L2704">
        <v>0</v>
      </c>
      <c r="M2704">
        <v>0</v>
      </c>
      <c r="N2704">
        <v>0</v>
      </c>
      <c r="O2704">
        <v>0</v>
      </c>
      <c r="P2704">
        <v>0</v>
      </c>
      <c r="Q2704">
        <v>0</v>
      </c>
      <c r="R2704">
        <v>0</v>
      </c>
      <c r="S2704">
        <v>0</v>
      </c>
      <c r="T2704">
        <v>0</v>
      </c>
      <c r="V2704">
        <v>2</v>
      </c>
      <c r="W2704" t="s">
        <v>3931</v>
      </c>
    </row>
    <row r="2705" spans="1:23" x14ac:dyDescent="0.25">
      <c r="H2705">
        <v>703</v>
      </c>
    </row>
    <row r="2706" spans="1:23" x14ac:dyDescent="0.25">
      <c r="A2706">
        <v>1350</v>
      </c>
      <c r="B2706">
        <v>1503</v>
      </c>
      <c r="C2706" t="s">
        <v>3932</v>
      </c>
      <c r="D2706" t="s">
        <v>3933</v>
      </c>
      <c r="E2706" t="s">
        <v>15</v>
      </c>
      <c r="F2706" t="s">
        <v>3934</v>
      </c>
      <c r="G2706" t="str">
        <f>"00216107"</f>
        <v>00216107</v>
      </c>
      <c r="H2706">
        <v>935</v>
      </c>
      <c r="I2706">
        <v>150</v>
      </c>
      <c r="J2706">
        <v>30</v>
      </c>
      <c r="K2706">
        <v>0</v>
      </c>
      <c r="L2706">
        <v>0</v>
      </c>
      <c r="M2706">
        <v>0</v>
      </c>
      <c r="N2706">
        <v>0</v>
      </c>
      <c r="O2706">
        <v>0</v>
      </c>
      <c r="P2706">
        <v>0</v>
      </c>
      <c r="Q2706">
        <v>0</v>
      </c>
      <c r="R2706">
        <v>13</v>
      </c>
      <c r="S2706">
        <v>91</v>
      </c>
      <c r="T2706">
        <v>0</v>
      </c>
      <c r="V2706">
        <v>0</v>
      </c>
      <c r="W2706">
        <v>1206</v>
      </c>
    </row>
    <row r="2707" spans="1:23" x14ac:dyDescent="0.25">
      <c r="H2707">
        <v>703</v>
      </c>
    </row>
    <row r="2708" spans="1:23" x14ac:dyDescent="0.25">
      <c r="A2708">
        <v>1351</v>
      </c>
      <c r="B2708">
        <v>1655</v>
      </c>
      <c r="C2708" t="s">
        <v>2607</v>
      </c>
      <c r="D2708" t="s">
        <v>40</v>
      </c>
      <c r="E2708" t="s">
        <v>91</v>
      </c>
      <c r="F2708" t="s">
        <v>3935</v>
      </c>
      <c r="G2708" t="str">
        <f>"201412001477"</f>
        <v>201412001477</v>
      </c>
      <c r="H2708">
        <v>990</v>
      </c>
      <c r="I2708">
        <v>150</v>
      </c>
      <c r="J2708">
        <v>30</v>
      </c>
      <c r="K2708">
        <v>0</v>
      </c>
      <c r="L2708">
        <v>0</v>
      </c>
      <c r="M2708">
        <v>0</v>
      </c>
      <c r="N2708">
        <v>0</v>
      </c>
      <c r="O2708">
        <v>0</v>
      </c>
      <c r="P2708">
        <v>0</v>
      </c>
      <c r="Q2708">
        <v>0</v>
      </c>
      <c r="R2708">
        <v>5</v>
      </c>
      <c r="S2708">
        <v>35</v>
      </c>
      <c r="T2708">
        <v>0</v>
      </c>
      <c r="V2708">
        <v>2</v>
      </c>
      <c r="W2708">
        <v>1205</v>
      </c>
    </row>
    <row r="2709" spans="1:23" x14ac:dyDescent="0.25">
      <c r="H2709">
        <v>703</v>
      </c>
    </row>
    <row r="2710" spans="1:23" x14ac:dyDescent="0.25">
      <c r="A2710">
        <v>1352</v>
      </c>
      <c r="B2710">
        <v>2467</v>
      </c>
      <c r="C2710" t="s">
        <v>3936</v>
      </c>
      <c r="D2710" t="s">
        <v>105</v>
      </c>
      <c r="E2710" t="s">
        <v>76</v>
      </c>
      <c r="F2710" t="s">
        <v>3937</v>
      </c>
      <c r="G2710" t="str">
        <f>"201603000365"</f>
        <v>201603000365</v>
      </c>
      <c r="H2710" t="s">
        <v>49</v>
      </c>
      <c r="I2710">
        <v>150</v>
      </c>
      <c r="J2710">
        <v>0</v>
      </c>
      <c r="K2710">
        <v>0</v>
      </c>
      <c r="L2710">
        <v>0</v>
      </c>
      <c r="M2710">
        <v>0</v>
      </c>
      <c r="N2710">
        <v>0</v>
      </c>
      <c r="O2710">
        <v>0</v>
      </c>
      <c r="P2710">
        <v>0</v>
      </c>
      <c r="Q2710">
        <v>0</v>
      </c>
      <c r="R2710">
        <v>0</v>
      </c>
      <c r="S2710">
        <v>0</v>
      </c>
      <c r="T2710">
        <v>0</v>
      </c>
      <c r="V2710">
        <v>0</v>
      </c>
      <c r="W2710" t="s">
        <v>3938</v>
      </c>
    </row>
    <row r="2711" spans="1:23" x14ac:dyDescent="0.25">
      <c r="H2711">
        <v>703</v>
      </c>
    </row>
    <row r="2712" spans="1:23" x14ac:dyDescent="0.25">
      <c r="A2712">
        <v>1353</v>
      </c>
      <c r="B2712">
        <v>1211</v>
      </c>
      <c r="C2712" t="s">
        <v>3939</v>
      </c>
      <c r="D2712" t="s">
        <v>20</v>
      </c>
      <c r="E2712" t="s">
        <v>105</v>
      </c>
      <c r="F2712" t="s">
        <v>3940</v>
      </c>
      <c r="G2712" t="str">
        <f>"201406016062"</f>
        <v>201406016062</v>
      </c>
      <c r="H2712" t="s">
        <v>73</v>
      </c>
      <c r="I2712">
        <v>0</v>
      </c>
      <c r="J2712">
        <v>70</v>
      </c>
      <c r="K2712">
        <v>0</v>
      </c>
      <c r="L2712">
        <v>0</v>
      </c>
      <c r="M2712">
        <v>0</v>
      </c>
      <c r="N2712">
        <v>0</v>
      </c>
      <c r="O2712">
        <v>0</v>
      </c>
      <c r="P2712">
        <v>0</v>
      </c>
      <c r="Q2712">
        <v>0</v>
      </c>
      <c r="R2712">
        <v>12</v>
      </c>
      <c r="S2712">
        <v>84</v>
      </c>
      <c r="T2712">
        <v>0</v>
      </c>
      <c r="V2712">
        <v>0</v>
      </c>
      <c r="W2712" t="s">
        <v>3941</v>
      </c>
    </row>
    <row r="2713" spans="1:23" x14ac:dyDescent="0.25">
      <c r="H2713" t="s">
        <v>26</v>
      </c>
    </row>
    <row r="2714" spans="1:23" x14ac:dyDescent="0.25">
      <c r="A2714">
        <v>1354</v>
      </c>
      <c r="B2714">
        <v>717</v>
      </c>
      <c r="C2714" t="s">
        <v>45</v>
      </c>
      <c r="D2714" t="s">
        <v>258</v>
      </c>
      <c r="E2714" t="s">
        <v>76</v>
      </c>
      <c r="F2714" t="s">
        <v>3942</v>
      </c>
      <c r="G2714" t="str">
        <f>"201405001996"</f>
        <v>201405001996</v>
      </c>
      <c r="H2714" t="s">
        <v>202</v>
      </c>
      <c r="I2714">
        <v>150</v>
      </c>
      <c r="J2714">
        <v>70</v>
      </c>
      <c r="K2714">
        <v>0</v>
      </c>
      <c r="L2714">
        <v>0</v>
      </c>
      <c r="M2714">
        <v>0</v>
      </c>
      <c r="N2714">
        <v>0</v>
      </c>
      <c r="O2714">
        <v>0</v>
      </c>
      <c r="P2714">
        <v>0</v>
      </c>
      <c r="Q2714">
        <v>0</v>
      </c>
      <c r="R2714">
        <v>0</v>
      </c>
      <c r="S2714">
        <v>0</v>
      </c>
      <c r="T2714">
        <v>0</v>
      </c>
      <c r="V2714">
        <v>0</v>
      </c>
      <c r="W2714" t="s">
        <v>3941</v>
      </c>
    </row>
    <row r="2715" spans="1:23" x14ac:dyDescent="0.25">
      <c r="H2715">
        <v>703</v>
      </c>
    </row>
    <row r="2716" spans="1:23" x14ac:dyDescent="0.25">
      <c r="A2716">
        <v>1355</v>
      </c>
      <c r="B2716">
        <v>429</v>
      </c>
      <c r="C2716" t="s">
        <v>2751</v>
      </c>
      <c r="D2716" t="s">
        <v>248</v>
      </c>
      <c r="E2716" t="s">
        <v>91</v>
      </c>
      <c r="F2716" t="s">
        <v>3943</v>
      </c>
      <c r="G2716" t="str">
        <f>"201511008552"</f>
        <v>201511008552</v>
      </c>
      <c r="H2716" t="s">
        <v>531</v>
      </c>
      <c r="I2716">
        <v>150</v>
      </c>
      <c r="J2716">
        <v>30</v>
      </c>
      <c r="K2716">
        <v>0</v>
      </c>
      <c r="L2716">
        <v>0</v>
      </c>
      <c r="M2716">
        <v>0</v>
      </c>
      <c r="N2716">
        <v>0</v>
      </c>
      <c r="O2716">
        <v>0</v>
      </c>
      <c r="P2716">
        <v>0</v>
      </c>
      <c r="Q2716">
        <v>0</v>
      </c>
      <c r="R2716">
        <v>12</v>
      </c>
      <c r="S2716">
        <v>84</v>
      </c>
      <c r="T2716">
        <v>0</v>
      </c>
      <c r="V2716">
        <v>0</v>
      </c>
      <c r="W2716" t="s">
        <v>3941</v>
      </c>
    </row>
    <row r="2717" spans="1:23" x14ac:dyDescent="0.25">
      <c r="H2717">
        <v>703</v>
      </c>
    </row>
    <row r="2718" spans="1:23" x14ac:dyDescent="0.25">
      <c r="A2718">
        <v>1356</v>
      </c>
      <c r="B2718">
        <v>3009</v>
      </c>
      <c r="C2718" t="s">
        <v>2807</v>
      </c>
      <c r="D2718" t="s">
        <v>155</v>
      </c>
      <c r="E2718" t="s">
        <v>592</v>
      </c>
      <c r="F2718" t="s">
        <v>3944</v>
      </c>
      <c r="G2718" t="str">
        <f>"201501000116"</f>
        <v>201501000116</v>
      </c>
      <c r="H2718" t="s">
        <v>521</v>
      </c>
      <c r="I2718">
        <v>0</v>
      </c>
      <c r="J2718">
        <v>30</v>
      </c>
      <c r="K2718">
        <v>0</v>
      </c>
      <c r="L2718">
        <v>0</v>
      </c>
      <c r="M2718">
        <v>0</v>
      </c>
      <c r="N2718">
        <v>0</v>
      </c>
      <c r="O2718">
        <v>0</v>
      </c>
      <c r="P2718">
        <v>0</v>
      </c>
      <c r="Q2718">
        <v>0</v>
      </c>
      <c r="R2718">
        <v>29</v>
      </c>
      <c r="S2718">
        <v>203</v>
      </c>
      <c r="T2718">
        <v>0</v>
      </c>
      <c r="V2718">
        <v>0</v>
      </c>
      <c r="W2718" t="s">
        <v>3945</v>
      </c>
    </row>
    <row r="2719" spans="1:23" x14ac:dyDescent="0.25">
      <c r="H2719" t="s">
        <v>26</v>
      </c>
    </row>
    <row r="2720" spans="1:23" x14ac:dyDescent="0.25">
      <c r="A2720">
        <v>1357</v>
      </c>
      <c r="B2720">
        <v>2346</v>
      </c>
      <c r="C2720" t="s">
        <v>3946</v>
      </c>
      <c r="D2720" t="s">
        <v>767</v>
      </c>
      <c r="E2720" t="s">
        <v>105</v>
      </c>
      <c r="F2720" t="s">
        <v>3947</v>
      </c>
      <c r="G2720" t="str">
        <f>"00044338"</f>
        <v>00044338</v>
      </c>
      <c r="H2720" t="s">
        <v>3948</v>
      </c>
      <c r="I2720">
        <v>0</v>
      </c>
      <c r="J2720">
        <v>70</v>
      </c>
      <c r="K2720">
        <v>0</v>
      </c>
      <c r="L2720">
        <v>0</v>
      </c>
      <c r="M2720">
        <v>0</v>
      </c>
      <c r="N2720">
        <v>0</v>
      </c>
      <c r="O2720">
        <v>0</v>
      </c>
      <c r="P2720">
        <v>0</v>
      </c>
      <c r="Q2720">
        <v>0</v>
      </c>
      <c r="R2720">
        <v>67</v>
      </c>
      <c r="S2720">
        <v>469</v>
      </c>
      <c r="T2720">
        <v>0</v>
      </c>
      <c r="V2720">
        <v>0</v>
      </c>
      <c r="W2720" t="s">
        <v>3949</v>
      </c>
    </row>
    <row r="2721" spans="1:23" x14ac:dyDescent="0.25">
      <c r="H2721">
        <v>703</v>
      </c>
    </row>
    <row r="2722" spans="1:23" x14ac:dyDescent="0.25">
      <c r="A2722">
        <v>1358</v>
      </c>
      <c r="B2722">
        <v>1458</v>
      </c>
      <c r="C2722" t="s">
        <v>3950</v>
      </c>
      <c r="D2722" t="s">
        <v>293</v>
      </c>
      <c r="E2722" t="s">
        <v>24</v>
      </c>
      <c r="F2722" t="s">
        <v>3951</v>
      </c>
      <c r="G2722" t="str">
        <f>"201101000042"</f>
        <v>201101000042</v>
      </c>
      <c r="H2722" t="s">
        <v>1672</v>
      </c>
      <c r="I2722">
        <v>0</v>
      </c>
      <c r="J2722">
        <v>30</v>
      </c>
      <c r="K2722">
        <v>0</v>
      </c>
      <c r="L2722">
        <v>0</v>
      </c>
      <c r="M2722">
        <v>0</v>
      </c>
      <c r="N2722">
        <v>0</v>
      </c>
      <c r="O2722">
        <v>0</v>
      </c>
      <c r="P2722">
        <v>0</v>
      </c>
      <c r="Q2722">
        <v>0</v>
      </c>
      <c r="R2722">
        <v>11</v>
      </c>
      <c r="S2722">
        <v>77</v>
      </c>
      <c r="T2722">
        <v>0</v>
      </c>
      <c r="V2722">
        <v>0</v>
      </c>
      <c r="W2722" t="s">
        <v>3952</v>
      </c>
    </row>
    <row r="2723" spans="1:23" x14ac:dyDescent="0.25">
      <c r="H2723" t="s">
        <v>26</v>
      </c>
    </row>
    <row r="2724" spans="1:23" x14ac:dyDescent="0.25">
      <c r="A2724">
        <v>1359</v>
      </c>
      <c r="B2724">
        <v>2705</v>
      </c>
      <c r="C2724" t="s">
        <v>3953</v>
      </c>
      <c r="D2724" t="s">
        <v>14</v>
      </c>
      <c r="E2724" t="s">
        <v>1440</v>
      </c>
      <c r="F2724" t="s">
        <v>3954</v>
      </c>
      <c r="G2724" t="str">
        <f>"00230899"</f>
        <v>00230899</v>
      </c>
      <c r="H2724" t="s">
        <v>465</v>
      </c>
      <c r="I2724">
        <v>0</v>
      </c>
      <c r="J2724">
        <v>70</v>
      </c>
      <c r="K2724">
        <v>0</v>
      </c>
      <c r="L2724">
        <v>0</v>
      </c>
      <c r="M2724">
        <v>0</v>
      </c>
      <c r="N2724">
        <v>0</v>
      </c>
      <c r="O2724">
        <v>0</v>
      </c>
      <c r="P2724">
        <v>0</v>
      </c>
      <c r="Q2724">
        <v>0</v>
      </c>
      <c r="R2724">
        <v>24</v>
      </c>
      <c r="S2724">
        <v>168</v>
      </c>
      <c r="T2724">
        <v>0</v>
      </c>
      <c r="V2724">
        <v>0</v>
      </c>
      <c r="W2724" t="s">
        <v>3955</v>
      </c>
    </row>
    <row r="2725" spans="1:23" x14ac:dyDescent="0.25">
      <c r="H2725">
        <v>703</v>
      </c>
    </row>
    <row r="2726" spans="1:23" x14ac:dyDescent="0.25">
      <c r="A2726">
        <v>1360</v>
      </c>
      <c r="B2726">
        <v>912</v>
      </c>
      <c r="C2726" t="s">
        <v>3956</v>
      </c>
      <c r="D2726" t="s">
        <v>315</v>
      </c>
      <c r="E2726" t="s">
        <v>15</v>
      </c>
      <c r="F2726" t="s">
        <v>3957</v>
      </c>
      <c r="G2726" t="str">
        <f>"00191398"</f>
        <v>00191398</v>
      </c>
      <c r="H2726">
        <v>1100</v>
      </c>
      <c r="I2726">
        <v>0</v>
      </c>
      <c r="J2726">
        <v>0</v>
      </c>
      <c r="K2726">
        <v>0</v>
      </c>
      <c r="L2726">
        <v>0</v>
      </c>
      <c r="M2726">
        <v>0</v>
      </c>
      <c r="N2726">
        <v>0</v>
      </c>
      <c r="O2726">
        <v>70</v>
      </c>
      <c r="P2726">
        <v>30</v>
      </c>
      <c r="Q2726">
        <v>0</v>
      </c>
      <c r="R2726">
        <v>0</v>
      </c>
      <c r="S2726">
        <v>0</v>
      </c>
      <c r="T2726">
        <v>0</v>
      </c>
      <c r="V2726">
        <v>0</v>
      </c>
      <c r="W2726">
        <v>1200</v>
      </c>
    </row>
    <row r="2727" spans="1:23" x14ac:dyDescent="0.25">
      <c r="H2727">
        <v>703</v>
      </c>
    </row>
    <row r="2728" spans="1:23" x14ac:dyDescent="0.25">
      <c r="A2728">
        <v>1361</v>
      </c>
      <c r="B2728">
        <v>2293</v>
      </c>
      <c r="C2728" t="s">
        <v>3958</v>
      </c>
      <c r="D2728" t="s">
        <v>523</v>
      </c>
      <c r="E2728" t="s">
        <v>99</v>
      </c>
      <c r="F2728" t="s">
        <v>3959</v>
      </c>
      <c r="G2728" t="str">
        <f>"00010857"</f>
        <v>00010857</v>
      </c>
      <c r="H2728">
        <v>979</v>
      </c>
      <c r="I2728">
        <v>0</v>
      </c>
      <c r="J2728">
        <v>70</v>
      </c>
      <c r="K2728">
        <v>30</v>
      </c>
      <c r="L2728">
        <v>50</v>
      </c>
      <c r="M2728">
        <v>0</v>
      </c>
      <c r="N2728">
        <v>0</v>
      </c>
      <c r="O2728">
        <v>0</v>
      </c>
      <c r="P2728">
        <v>0</v>
      </c>
      <c r="Q2728">
        <v>0</v>
      </c>
      <c r="R2728">
        <v>10</v>
      </c>
      <c r="S2728">
        <v>70</v>
      </c>
      <c r="T2728">
        <v>0</v>
      </c>
      <c r="V2728">
        <v>0</v>
      </c>
      <c r="W2728">
        <v>1199</v>
      </c>
    </row>
    <row r="2729" spans="1:23" x14ac:dyDescent="0.25">
      <c r="H2729" t="s">
        <v>70</v>
      </c>
    </row>
    <row r="2730" spans="1:23" x14ac:dyDescent="0.25">
      <c r="A2730">
        <v>1362</v>
      </c>
      <c r="B2730">
        <v>2736</v>
      </c>
      <c r="C2730" t="s">
        <v>3960</v>
      </c>
      <c r="D2730" t="s">
        <v>112</v>
      </c>
      <c r="E2730" t="s">
        <v>109</v>
      </c>
      <c r="F2730" t="s">
        <v>3961</v>
      </c>
      <c r="G2730" t="str">
        <f>"201406013164"</f>
        <v>201406013164</v>
      </c>
      <c r="H2730">
        <v>880</v>
      </c>
      <c r="I2730">
        <v>0</v>
      </c>
      <c r="J2730">
        <v>30</v>
      </c>
      <c r="K2730">
        <v>0</v>
      </c>
      <c r="L2730">
        <v>0</v>
      </c>
      <c r="M2730">
        <v>30</v>
      </c>
      <c r="N2730">
        <v>0</v>
      </c>
      <c r="O2730">
        <v>0</v>
      </c>
      <c r="P2730">
        <v>0</v>
      </c>
      <c r="Q2730">
        <v>0</v>
      </c>
      <c r="R2730">
        <v>37</v>
      </c>
      <c r="S2730">
        <v>259</v>
      </c>
      <c r="T2730">
        <v>0</v>
      </c>
      <c r="V2730">
        <v>0</v>
      </c>
      <c r="W2730">
        <v>1199</v>
      </c>
    </row>
    <row r="2731" spans="1:23" x14ac:dyDescent="0.25">
      <c r="H2731" t="s">
        <v>70</v>
      </c>
    </row>
    <row r="2732" spans="1:23" x14ac:dyDescent="0.25">
      <c r="A2732">
        <v>1363</v>
      </c>
      <c r="B2732">
        <v>1133</v>
      </c>
      <c r="C2732" t="s">
        <v>474</v>
      </c>
      <c r="D2732" t="s">
        <v>392</v>
      </c>
      <c r="E2732" t="s">
        <v>109</v>
      </c>
      <c r="F2732" t="s">
        <v>3962</v>
      </c>
      <c r="G2732" t="str">
        <f>"00148454"</f>
        <v>00148454</v>
      </c>
      <c r="H2732" t="s">
        <v>3963</v>
      </c>
      <c r="I2732">
        <v>0</v>
      </c>
      <c r="J2732">
        <v>0</v>
      </c>
      <c r="K2732">
        <v>0</v>
      </c>
      <c r="L2732">
        <v>0</v>
      </c>
      <c r="M2732">
        <v>0</v>
      </c>
      <c r="N2732">
        <v>0</v>
      </c>
      <c r="O2732">
        <v>0</v>
      </c>
      <c r="P2732">
        <v>0</v>
      </c>
      <c r="Q2732">
        <v>0</v>
      </c>
      <c r="R2732">
        <v>84</v>
      </c>
      <c r="S2732">
        <v>588</v>
      </c>
      <c r="T2732">
        <v>0</v>
      </c>
      <c r="V2732">
        <v>0</v>
      </c>
      <c r="W2732" t="s">
        <v>3964</v>
      </c>
    </row>
    <row r="2733" spans="1:23" x14ac:dyDescent="0.25">
      <c r="H2733">
        <v>703</v>
      </c>
    </row>
    <row r="2734" spans="1:23" x14ac:dyDescent="0.25">
      <c r="A2734">
        <v>1364</v>
      </c>
      <c r="B2734">
        <v>2454</v>
      </c>
      <c r="C2734" t="s">
        <v>3965</v>
      </c>
      <c r="D2734" t="s">
        <v>46</v>
      </c>
      <c r="E2734" t="s">
        <v>15</v>
      </c>
      <c r="F2734" t="s">
        <v>3966</v>
      </c>
      <c r="G2734" t="str">
        <f>"00223391"</f>
        <v>00223391</v>
      </c>
      <c r="H2734" t="s">
        <v>1097</v>
      </c>
      <c r="I2734">
        <v>0</v>
      </c>
      <c r="J2734">
        <v>30</v>
      </c>
      <c r="K2734">
        <v>0</v>
      </c>
      <c r="L2734">
        <v>0</v>
      </c>
      <c r="M2734">
        <v>0</v>
      </c>
      <c r="N2734">
        <v>0</v>
      </c>
      <c r="O2734">
        <v>0</v>
      </c>
      <c r="P2734">
        <v>0</v>
      </c>
      <c r="Q2734">
        <v>0</v>
      </c>
      <c r="R2734">
        <v>22</v>
      </c>
      <c r="S2734">
        <v>154</v>
      </c>
      <c r="T2734">
        <v>0</v>
      </c>
      <c r="V2734">
        <v>0</v>
      </c>
      <c r="W2734" t="s">
        <v>3967</v>
      </c>
    </row>
    <row r="2735" spans="1:23" x14ac:dyDescent="0.25">
      <c r="H2735" t="s">
        <v>70</v>
      </c>
    </row>
    <row r="2736" spans="1:23" x14ac:dyDescent="0.25">
      <c r="A2736">
        <v>1365</v>
      </c>
      <c r="B2736">
        <v>128</v>
      </c>
      <c r="C2736" t="s">
        <v>3968</v>
      </c>
      <c r="D2736" t="s">
        <v>356</v>
      </c>
      <c r="E2736" t="s">
        <v>91</v>
      </c>
      <c r="F2736" t="s">
        <v>3969</v>
      </c>
      <c r="G2736" t="str">
        <f>"200801006787"</f>
        <v>200801006787</v>
      </c>
      <c r="H2736">
        <v>869</v>
      </c>
      <c r="I2736">
        <v>0</v>
      </c>
      <c r="J2736">
        <v>70</v>
      </c>
      <c r="K2736">
        <v>0</v>
      </c>
      <c r="L2736">
        <v>0</v>
      </c>
      <c r="M2736">
        <v>0</v>
      </c>
      <c r="N2736">
        <v>0</v>
      </c>
      <c r="O2736">
        <v>0</v>
      </c>
      <c r="P2736">
        <v>0</v>
      </c>
      <c r="Q2736">
        <v>0</v>
      </c>
      <c r="R2736">
        <v>37</v>
      </c>
      <c r="S2736">
        <v>259</v>
      </c>
      <c r="T2736">
        <v>0</v>
      </c>
      <c r="V2736">
        <v>0</v>
      </c>
      <c r="W2736">
        <v>1198</v>
      </c>
    </row>
    <row r="2737" spans="1:23" x14ac:dyDescent="0.25">
      <c r="H2737" t="s">
        <v>1984</v>
      </c>
    </row>
    <row r="2738" spans="1:23" x14ac:dyDescent="0.25">
      <c r="A2738">
        <v>1366</v>
      </c>
      <c r="B2738">
        <v>1973</v>
      </c>
      <c r="C2738" t="s">
        <v>3970</v>
      </c>
      <c r="D2738" t="s">
        <v>53</v>
      </c>
      <c r="E2738" t="s">
        <v>752</v>
      </c>
      <c r="F2738" t="s">
        <v>3971</v>
      </c>
      <c r="G2738" t="str">
        <f>"00080273"</f>
        <v>00080273</v>
      </c>
      <c r="H2738">
        <v>825</v>
      </c>
      <c r="I2738">
        <v>0</v>
      </c>
      <c r="J2738">
        <v>30</v>
      </c>
      <c r="K2738">
        <v>0</v>
      </c>
      <c r="L2738">
        <v>0</v>
      </c>
      <c r="M2738">
        <v>0</v>
      </c>
      <c r="N2738">
        <v>0</v>
      </c>
      <c r="O2738">
        <v>0</v>
      </c>
      <c r="P2738">
        <v>0</v>
      </c>
      <c r="Q2738">
        <v>0</v>
      </c>
      <c r="R2738">
        <v>49</v>
      </c>
      <c r="S2738">
        <v>343</v>
      </c>
      <c r="T2738">
        <v>0</v>
      </c>
      <c r="V2738">
        <v>0</v>
      </c>
      <c r="W2738">
        <v>1198</v>
      </c>
    </row>
    <row r="2739" spans="1:23" x14ac:dyDescent="0.25">
      <c r="H2739">
        <v>703</v>
      </c>
    </row>
    <row r="2740" spans="1:23" x14ac:dyDescent="0.25">
      <c r="A2740">
        <v>1367</v>
      </c>
      <c r="B2740">
        <v>958</v>
      </c>
      <c r="C2740" t="s">
        <v>963</v>
      </c>
      <c r="D2740" t="s">
        <v>40</v>
      </c>
      <c r="E2740" t="s">
        <v>424</v>
      </c>
      <c r="F2740" t="s">
        <v>3972</v>
      </c>
      <c r="G2740" t="str">
        <f>"201412003220"</f>
        <v>201412003220</v>
      </c>
      <c r="H2740" t="s">
        <v>429</v>
      </c>
      <c r="I2740">
        <v>0</v>
      </c>
      <c r="J2740">
        <v>70</v>
      </c>
      <c r="K2740">
        <v>0</v>
      </c>
      <c r="L2740">
        <v>0</v>
      </c>
      <c r="M2740">
        <v>0</v>
      </c>
      <c r="N2740">
        <v>0</v>
      </c>
      <c r="O2740">
        <v>0</v>
      </c>
      <c r="P2740">
        <v>0</v>
      </c>
      <c r="Q2740">
        <v>0</v>
      </c>
      <c r="R2740">
        <v>17</v>
      </c>
      <c r="S2740">
        <v>119</v>
      </c>
      <c r="T2740">
        <v>0</v>
      </c>
      <c r="V2740">
        <v>0</v>
      </c>
      <c r="W2740" t="s">
        <v>3973</v>
      </c>
    </row>
    <row r="2741" spans="1:23" x14ac:dyDescent="0.25">
      <c r="H2741">
        <v>703</v>
      </c>
    </row>
    <row r="2742" spans="1:23" x14ac:dyDescent="0.25">
      <c r="A2742">
        <v>1368</v>
      </c>
      <c r="B2742">
        <v>1472</v>
      </c>
      <c r="C2742" t="s">
        <v>3974</v>
      </c>
      <c r="D2742" t="s">
        <v>432</v>
      </c>
      <c r="E2742" t="s">
        <v>15</v>
      </c>
      <c r="F2742" t="s">
        <v>3975</v>
      </c>
      <c r="G2742" t="str">
        <f>"200805000635"</f>
        <v>200805000635</v>
      </c>
      <c r="H2742" t="s">
        <v>622</v>
      </c>
      <c r="I2742">
        <v>150</v>
      </c>
      <c r="J2742">
        <v>30</v>
      </c>
      <c r="K2742">
        <v>0</v>
      </c>
      <c r="L2742">
        <v>0</v>
      </c>
      <c r="M2742">
        <v>0</v>
      </c>
      <c r="N2742">
        <v>0</v>
      </c>
      <c r="O2742">
        <v>0</v>
      </c>
      <c r="P2742">
        <v>0</v>
      </c>
      <c r="Q2742">
        <v>0</v>
      </c>
      <c r="R2742">
        <v>6</v>
      </c>
      <c r="S2742">
        <v>42</v>
      </c>
      <c r="T2742">
        <v>0</v>
      </c>
      <c r="V2742">
        <v>0</v>
      </c>
      <c r="W2742" t="s">
        <v>3973</v>
      </c>
    </row>
    <row r="2743" spans="1:23" x14ac:dyDescent="0.25">
      <c r="H2743">
        <v>703</v>
      </c>
    </row>
    <row r="2744" spans="1:23" x14ac:dyDescent="0.25">
      <c r="A2744">
        <v>1369</v>
      </c>
      <c r="B2744">
        <v>3077</v>
      </c>
      <c r="C2744" t="s">
        <v>3976</v>
      </c>
      <c r="D2744" t="s">
        <v>1401</v>
      </c>
      <c r="E2744" t="s">
        <v>76</v>
      </c>
      <c r="F2744" t="s">
        <v>3977</v>
      </c>
      <c r="G2744" t="str">
        <f>"201409006590"</f>
        <v>201409006590</v>
      </c>
      <c r="H2744" t="s">
        <v>187</v>
      </c>
      <c r="I2744">
        <v>0</v>
      </c>
      <c r="J2744">
        <v>70</v>
      </c>
      <c r="K2744">
        <v>0</v>
      </c>
      <c r="L2744">
        <v>0</v>
      </c>
      <c r="M2744">
        <v>0</v>
      </c>
      <c r="N2744">
        <v>0</v>
      </c>
      <c r="O2744">
        <v>0</v>
      </c>
      <c r="P2744">
        <v>0</v>
      </c>
      <c r="Q2744">
        <v>0</v>
      </c>
      <c r="R2744">
        <v>14</v>
      </c>
      <c r="S2744">
        <v>98</v>
      </c>
      <c r="T2744">
        <v>0</v>
      </c>
      <c r="V2744">
        <v>0</v>
      </c>
      <c r="W2744" t="s">
        <v>3978</v>
      </c>
    </row>
    <row r="2745" spans="1:23" x14ac:dyDescent="0.25">
      <c r="H2745">
        <v>703</v>
      </c>
    </row>
    <row r="2746" spans="1:23" x14ac:dyDescent="0.25">
      <c r="A2746">
        <v>1370</v>
      </c>
      <c r="B2746">
        <v>2104</v>
      </c>
      <c r="C2746" t="s">
        <v>3979</v>
      </c>
      <c r="D2746" t="s">
        <v>1026</v>
      </c>
      <c r="E2746" t="s">
        <v>99</v>
      </c>
      <c r="F2746" t="s">
        <v>3980</v>
      </c>
      <c r="G2746" t="str">
        <f>"201410000555"</f>
        <v>201410000555</v>
      </c>
      <c r="H2746" t="s">
        <v>833</v>
      </c>
      <c r="I2746">
        <v>150</v>
      </c>
      <c r="J2746">
        <v>0</v>
      </c>
      <c r="K2746">
        <v>0</v>
      </c>
      <c r="L2746">
        <v>0</v>
      </c>
      <c r="M2746">
        <v>0</v>
      </c>
      <c r="N2746">
        <v>30</v>
      </c>
      <c r="O2746">
        <v>0</v>
      </c>
      <c r="P2746">
        <v>0</v>
      </c>
      <c r="Q2746">
        <v>0</v>
      </c>
      <c r="R2746">
        <v>11</v>
      </c>
      <c r="S2746">
        <v>77</v>
      </c>
      <c r="T2746">
        <v>0</v>
      </c>
      <c r="V2746">
        <v>0</v>
      </c>
      <c r="W2746" t="s">
        <v>3981</v>
      </c>
    </row>
    <row r="2747" spans="1:23" x14ac:dyDescent="0.25">
      <c r="H2747">
        <v>703</v>
      </c>
    </row>
    <row r="2748" spans="1:23" x14ac:dyDescent="0.25">
      <c r="A2748">
        <v>1371</v>
      </c>
      <c r="B2748">
        <v>1863</v>
      </c>
      <c r="C2748" t="s">
        <v>3982</v>
      </c>
      <c r="D2748" t="s">
        <v>28</v>
      </c>
      <c r="E2748" t="s">
        <v>3983</v>
      </c>
      <c r="F2748" t="s">
        <v>3984</v>
      </c>
      <c r="G2748" t="str">
        <f>"201511028063"</f>
        <v>201511028063</v>
      </c>
      <c r="H2748" t="s">
        <v>358</v>
      </c>
      <c r="I2748">
        <v>0</v>
      </c>
      <c r="J2748">
        <v>70</v>
      </c>
      <c r="K2748">
        <v>70</v>
      </c>
      <c r="L2748">
        <v>30</v>
      </c>
      <c r="M2748">
        <v>30</v>
      </c>
      <c r="N2748">
        <v>0</v>
      </c>
      <c r="O2748">
        <v>0</v>
      </c>
      <c r="P2748">
        <v>0</v>
      </c>
      <c r="Q2748">
        <v>0</v>
      </c>
      <c r="R2748">
        <v>0</v>
      </c>
      <c r="S2748">
        <v>0</v>
      </c>
      <c r="T2748">
        <v>0</v>
      </c>
      <c r="V2748">
        <v>0</v>
      </c>
      <c r="W2748" t="s">
        <v>3985</v>
      </c>
    </row>
    <row r="2749" spans="1:23" x14ac:dyDescent="0.25">
      <c r="H2749" t="s">
        <v>26</v>
      </c>
    </row>
    <row r="2750" spans="1:23" x14ac:dyDescent="0.25">
      <c r="A2750">
        <v>1372</v>
      </c>
      <c r="B2750">
        <v>1334</v>
      </c>
      <c r="C2750" t="s">
        <v>3986</v>
      </c>
      <c r="D2750" t="s">
        <v>226</v>
      </c>
      <c r="E2750" t="s">
        <v>592</v>
      </c>
      <c r="F2750" t="s">
        <v>3987</v>
      </c>
      <c r="G2750" t="str">
        <f>"00229397"</f>
        <v>00229397</v>
      </c>
      <c r="H2750">
        <v>1045</v>
      </c>
      <c r="I2750">
        <v>150</v>
      </c>
      <c r="J2750">
        <v>0</v>
      </c>
      <c r="K2750">
        <v>0</v>
      </c>
      <c r="L2750">
        <v>0</v>
      </c>
      <c r="M2750">
        <v>0</v>
      </c>
      <c r="N2750">
        <v>0</v>
      </c>
      <c r="O2750">
        <v>0</v>
      </c>
      <c r="P2750">
        <v>0</v>
      </c>
      <c r="Q2750">
        <v>0</v>
      </c>
      <c r="R2750">
        <v>0</v>
      </c>
      <c r="S2750">
        <v>0</v>
      </c>
      <c r="T2750">
        <v>0</v>
      </c>
      <c r="V2750">
        <v>0</v>
      </c>
      <c r="W2750">
        <v>1195</v>
      </c>
    </row>
    <row r="2751" spans="1:23" x14ac:dyDescent="0.25">
      <c r="H2751">
        <v>703</v>
      </c>
    </row>
    <row r="2752" spans="1:23" x14ac:dyDescent="0.25">
      <c r="A2752">
        <v>1373</v>
      </c>
      <c r="B2752">
        <v>1047</v>
      </c>
      <c r="C2752" t="s">
        <v>3988</v>
      </c>
      <c r="D2752" t="s">
        <v>41</v>
      </c>
      <c r="E2752" t="s">
        <v>752</v>
      </c>
      <c r="F2752" t="s">
        <v>3989</v>
      </c>
      <c r="G2752" t="str">
        <f>"00003780"</f>
        <v>00003780</v>
      </c>
      <c r="H2752">
        <v>1045</v>
      </c>
      <c r="I2752">
        <v>150</v>
      </c>
      <c r="J2752">
        <v>0</v>
      </c>
      <c r="K2752">
        <v>0</v>
      </c>
      <c r="L2752">
        <v>0</v>
      </c>
      <c r="M2752">
        <v>0</v>
      </c>
      <c r="N2752">
        <v>0</v>
      </c>
      <c r="O2752">
        <v>0</v>
      </c>
      <c r="P2752">
        <v>0</v>
      </c>
      <c r="Q2752">
        <v>0</v>
      </c>
      <c r="R2752">
        <v>0</v>
      </c>
      <c r="S2752">
        <v>0</v>
      </c>
      <c r="T2752">
        <v>0</v>
      </c>
      <c r="V2752">
        <v>0</v>
      </c>
      <c r="W2752">
        <v>1195</v>
      </c>
    </row>
    <row r="2753" spans="1:23" x14ac:dyDescent="0.25">
      <c r="H2753">
        <v>703</v>
      </c>
    </row>
    <row r="2754" spans="1:23" x14ac:dyDescent="0.25">
      <c r="A2754">
        <v>1374</v>
      </c>
      <c r="B2754">
        <v>1017</v>
      </c>
      <c r="C2754" t="s">
        <v>2588</v>
      </c>
      <c r="D2754" t="s">
        <v>219</v>
      </c>
      <c r="E2754" t="s">
        <v>3990</v>
      </c>
      <c r="F2754" t="s">
        <v>3991</v>
      </c>
      <c r="G2754" t="str">
        <f>"201304004345"</f>
        <v>201304004345</v>
      </c>
      <c r="H2754">
        <v>990</v>
      </c>
      <c r="I2754">
        <v>0</v>
      </c>
      <c r="J2754">
        <v>70</v>
      </c>
      <c r="K2754">
        <v>0</v>
      </c>
      <c r="L2754">
        <v>50</v>
      </c>
      <c r="M2754">
        <v>0</v>
      </c>
      <c r="N2754">
        <v>0</v>
      </c>
      <c r="O2754">
        <v>0</v>
      </c>
      <c r="P2754">
        <v>0</v>
      </c>
      <c r="Q2754">
        <v>0</v>
      </c>
      <c r="R2754">
        <v>12</v>
      </c>
      <c r="S2754">
        <v>84</v>
      </c>
      <c r="T2754">
        <v>0</v>
      </c>
      <c r="V2754">
        <v>0</v>
      </c>
      <c r="W2754">
        <v>1194</v>
      </c>
    </row>
    <row r="2755" spans="1:23" x14ac:dyDescent="0.25">
      <c r="H2755" t="s">
        <v>26</v>
      </c>
    </row>
    <row r="2756" spans="1:23" x14ac:dyDescent="0.25">
      <c r="A2756">
        <v>1375</v>
      </c>
      <c r="B2756">
        <v>2780</v>
      </c>
      <c r="C2756" t="s">
        <v>3992</v>
      </c>
      <c r="D2756" t="s">
        <v>273</v>
      </c>
      <c r="E2756" t="s">
        <v>109</v>
      </c>
      <c r="F2756" t="s">
        <v>3993</v>
      </c>
      <c r="G2756" t="str">
        <f>"200712002649"</f>
        <v>200712002649</v>
      </c>
      <c r="H2756" t="s">
        <v>1638</v>
      </c>
      <c r="I2756">
        <v>150</v>
      </c>
      <c r="J2756">
        <v>30</v>
      </c>
      <c r="K2756">
        <v>0</v>
      </c>
      <c r="L2756">
        <v>0</v>
      </c>
      <c r="M2756">
        <v>0</v>
      </c>
      <c r="N2756">
        <v>0</v>
      </c>
      <c r="O2756">
        <v>0</v>
      </c>
      <c r="P2756">
        <v>0</v>
      </c>
      <c r="Q2756">
        <v>0</v>
      </c>
      <c r="R2756">
        <v>0</v>
      </c>
      <c r="S2756">
        <v>0</v>
      </c>
      <c r="T2756">
        <v>0</v>
      </c>
      <c r="V2756">
        <v>0</v>
      </c>
      <c r="W2756" t="s">
        <v>3994</v>
      </c>
    </row>
    <row r="2757" spans="1:23" x14ac:dyDescent="0.25">
      <c r="H2757">
        <v>703</v>
      </c>
    </row>
    <row r="2758" spans="1:23" x14ac:dyDescent="0.25">
      <c r="A2758">
        <v>1376</v>
      </c>
      <c r="B2758">
        <v>1869</v>
      </c>
      <c r="C2758" t="s">
        <v>3995</v>
      </c>
      <c r="D2758" t="s">
        <v>3111</v>
      </c>
      <c r="E2758" t="s">
        <v>41</v>
      </c>
      <c r="F2758" t="s">
        <v>3996</v>
      </c>
      <c r="G2758" t="str">
        <f>"201004000167"</f>
        <v>201004000167</v>
      </c>
      <c r="H2758">
        <v>825</v>
      </c>
      <c r="I2758">
        <v>0</v>
      </c>
      <c r="J2758">
        <v>30</v>
      </c>
      <c r="K2758">
        <v>0</v>
      </c>
      <c r="L2758">
        <v>0</v>
      </c>
      <c r="M2758">
        <v>30</v>
      </c>
      <c r="N2758">
        <v>0</v>
      </c>
      <c r="O2758">
        <v>0</v>
      </c>
      <c r="P2758">
        <v>0</v>
      </c>
      <c r="Q2758">
        <v>0</v>
      </c>
      <c r="R2758">
        <v>44</v>
      </c>
      <c r="S2758">
        <v>308</v>
      </c>
      <c r="T2758">
        <v>0</v>
      </c>
      <c r="V2758">
        <v>0</v>
      </c>
      <c r="W2758">
        <v>1193</v>
      </c>
    </row>
    <row r="2759" spans="1:23" x14ac:dyDescent="0.25">
      <c r="H2759" t="s">
        <v>70</v>
      </c>
    </row>
    <row r="2760" spans="1:23" x14ac:dyDescent="0.25">
      <c r="A2760">
        <v>1377</v>
      </c>
      <c r="B2760">
        <v>2375</v>
      </c>
      <c r="C2760" t="s">
        <v>3997</v>
      </c>
      <c r="D2760" t="s">
        <v>3998</v>
      </c>
      <c r="E2760" t="s">
        <v>3999</v>
      </c>
      <c r="F2760" t="s">
        <v>4000</v>
      </c>
      <c r="G2760" t="str">
        <f>"00140517"</f>
        <v>00140517</v>
      </c>
      <c r="H2760">
        <v>605</v>
      </c>
      <c r="I2760">
        <v>0</v>
      </c>
      <c r="J2760">
        <v>0</v>
      </c>
      <c r="K2760">
        <v>0</v>
      </c>
      <c r="L2760">
        <v>0</v>
      </c>
      <c r="M2760">
        <v>0</v>
      </c>
      <c r="N2760">
        <v>0</v>
      </c>
      <c r="O2760">
        <v>0</v>
      </c>
      <c r="P2760">
        <v>0</v>
      </c>
      <c r="Q2760">
        <v>0</v>
      </c>
      <c r="R2760">
        <v>84</v>
      </c>
      <c r="S2760">
        <v>588</v>
      </c>
      <c r="T2760">
        <v>0</v>
      </c>
      <c r="V2760">
        <v>0</v>
      </c>
      <c r="W2760">
        <v>1193</v>
      </c>
    </row>
    <row r="2761" spans="1:23" x14ac:dyDescent="0.25">
      <c r="H2761">
        <v>703</v>
      </c>
    </row>
    <row r="2762" spans="1:23" x14ac:dyDescent="0.25">
      <c r="A2762">
        <v>1378</v>
      </c>
      <c r="B2762">
        <v>309</v>
      </c>
      <c r="C2762" t="s">
        <v>4001</v>
      </c>
      <c r="D2762" t="s">
        <v>91</v>
      </c>
      <c r="E2762" t="s">
        <v>393</v>
      </c>
      <c r="F2762" t="s">
        <v>4002</v>
      </c>
      <c r="G2762" t="str">
        <f>"201511039963"</f>
        <v>201511039963</v>
      </c>
      <c r="H2762" t="s">
        <v>1001</v>
      </c>
      <c r="I2762">
        <v>0</v>
      </c>
      <c r="J2762">
        <v>30</v>
      </c>
      <c r="K2762">
        <v>0</v>
      </c>
      <c r="L2762">
        <v>0</v>
      </c>
      <c r="M2762">
        <v>0</v>
      </c>
      <c r="N2762">
        <v>0</v>
      </c>
      <c r="O2762">
        <v>0</v>
      </c>
      <c r="P2762">
        <v>0</v>
      </c>
      <c r="Q2762">
        <v>0</v>
      </c>
      <c r="R2762">
        <v>38</v>
      </c>
      <c r="S2762">
        <v>266</v>
      </c>
      <c r="T2762">
        <v>0</v>
      </c>
      <c r="V2762">
        <v>1</v>
      </c>
      <c r="W2762" t="s">
        <v>4003</v>
      </c>
    </row>
    <row r="2763" spans="1:23" x14ac:dyDescent="0.25">
      <c r="H2763">
        <v>703</v>
      </c>
    </row>
    <row r="2764" spans="1:23" x14ac:dyDescent="0.25">
      <c r="A2764">
        <v>1379</v>
      </c>
      <c r="B2764">
        <v>2302</v>
      </c>
      <c r="C2764" t="s">
        <v>338</v>
      </c>
      <c r="D2764" t="s">
        <v>28</v>
      </c>
      <c r="E2764" t="s">
        <v>113</v>
      </c>
      <c r="F2764" t="s">
        <v>4004</v>
      </c>
      <c r="G2764" t="str">
        <f>"00045346"</f>
        <v>00045346</v>
      </c>
      <c r="H2764" t="s">
        <v>142</v>
      </c>
      <c r="I2764">
        <v>0</v>
      </c>
      <c r="J2764">
        <v>70</v>
      </c>
      <c r="K2764">
        <v>30</v>
      </c>
      <c r="L2764">
        <v>0</v>
      </c>
      <c r="M2764">
        <v>30</v>
      </c>
      <c r="N2764">
        <v>0</v>
      </c>
      <c r="O2764">
        <v>0</v>
      </c>
      <c r="P2764">
        <v>0</v>
      </c>
      <c r="Q2764">
        <v>0</v>
      </c>
      <c r="R2764">
        <v>0</v>
      </c>
      <c r="S2764">
        <v>0</v>
      </c>
      <c r="T2764">
        <v>0</v>
      </c>
      <c r="V2764">
        <v>0</v>
      </c>
      <c r="W2764" t="s">
        <v>4005</v>
      </c>
    </row>
    <row r="2765" spans="1:23" x14ac:dyDescent="0.25">
      <c r="H2765" t="s">
        <v>26</v>
      </c>
    </row>
    <row r="2766" spans="1:23" x14ac:dyDescent="0.25">
      <c r="A2766">
        <v>1380</v>
      </c>
      <c r="B2766">
        <v>2477</v>
      </c>
      <c r="C2766" t="s">
        <v>4006</v>
      </c>
      <c r="D2766" t="s">
        <v>912</v>
      </c>
      <c r="E2766" t="s">
        <v>29</v>
      </c>
      <c r="F2766" t="s">
        <v>4007</v>
      </c>
      <c r="G2766" t="str">
        <f>"00024007"</f>
        <v>00024007</v>
      </c>
      <c r="H2766" t="s">
        <v>281</v>
      </c>
      <c r="I2766">
        <v>150</v>
      </c>
      <c r="J2766">
        <v>0</v>
      </c>
      <c r="K2766">
        <v>0</v>
      </c>
      <c r="L2766">
        <v>0</v>
      </c>
      <c r="M2766">
        <v>0</v>
      </c>
      <c r="N2766">
        <v>0</v>
      </c>
      <c r="O2766">
        <v>0</v>
      </c>
      <c r="P2766">
        <v>0</v>
      </c>
      <c r="Q2766">
        <v>0</v>
      </c>
      <c r="R2766">
        <v>0</v>
      </c>
      <c r="S2766">
        <v>0</v>
      </c>
      <c r="T2766">
        <v>0</v>
      </c>
      <c r="V2766">
        <v>0</v>
      </c>
      <c r="W2766" t="s">
        <v>4008</v>
      </c>
    </row>
    <row r="2767" spans="1:23" x14ac:dyDescent="0.25">
      <c r="H2767">
        <v>703</v>
      </c>
    </row>
    <row r="2768" spans="1:23" x14ac:dyDescent="0.25">
      <c r="A2768">
        <v>1381</v>
      </c>
      <c r="B2768">
        <v>1462</v>
      </c>
      <c r="C2768" t="s">
        <v>4009</v>
      </c>
      <c r="D2768" t="s">
        <v>40</v>
      </c>
      <c r="E2768" t="s">
        <v>350</v>
      </c>
      <c r="F2768" t="s">
        <v>4010</v>
      </c>
      <c r="G2768" t="str">
        <f>"201410003165"</f>
        <v>201410003165</v>
      </c>
      <c r="H2768" t="s">
        <v>3917</v>
      </c>
      <c r="I2768">
        <v>0</v>
      </c>
      <c r="J2768">
        <v>0</v>
      </c>
      <c r="K2768">
        <v>0</v>
      </c>
      <c r="L2768">
        <v>0</v>
      </c>
      <c r="M2768">
        <v>0</v>
      </c>
      <c r="N2768">
        <v>0</v>
      </c>
      <c r="O2768">
        <v>0</v>
      </c>
      <c r="P2768">
        <v>0</v>
      </c>
      <c r="Q2768">
        <v>0</v>
      </c>
      <c r="R2768">
        <v>67</v>
      </c>
      <c r="S2768">
        <v>469</v>
      </c>
      <c r="T2768">
        <v>0</v>
      </c>
      <c r="V2768">
        <v>0</v>
      </c>
      <c r="W2768" t="s">
        <v>4008</v>
      </c>
    </row>
    <row r="2769" spans="1:23" x14ac:dyDescent="0.25">
      <c r="H2769">
        <v>703</v>
      </c>
    </row>
    <row r="2770" spans="1:23" x14ac:dyDescent="0.25">
      <c r="A2770">
        <v>1382</v>
      </c>
      <c r="B2770">
        <v>911</v>
      </c>
      <c r="C2770" t="s">
        <v>4011</v>
      </c>
      <c r="D2770" t="s">
        <v>302</v>
      </c>
      <c r="E2770" t="s">
        <v>76</v>
      </c>
      <c r="F2770" t="s">
        <v>4012</v>
      </c>
      <c r="G2770" t="str">
        <f>"00170646"</f>
        <v>00170646</v>
      </c>
      <c r="H2770">
        <v>1012</v>
      </c>
      <c r="I2770">
        <v>0</v>
      </c>
      <c r="J2770">
        <v>70</v>
      </c>
      <c r="K2770">
        <v>0</v>
      </c>
      <c r="L2770">
        <v>0</v>
      </c>
      <c r="M2770">
        <v>0</v>
      </c>
      <c r="N2770">
        <v>30</v>
      </c>
      <c r="O2770">
        <v>0</v>
      </c>
      <c r="P2770">
        <v>0</v>
      </c>
      <c r="Q2770">
        <v>0</v>
      </c>
      <c r="R2770">
        <v>11</v>
      </c>
      <c r="S2770">
        <v>77</v>
      </c>
      <c r="T2770">
        <v>0</v>
      </c>
      <c r="V2770">
        <v>0</v>
      </c>
      <c r="W2770">
        <v>1189</v>
      </c>
    </row>
    <row r="2771" spans="1:23" x14ac:dyDescent="0.25">
      <c r="H2771" t="s">
        <v>70</v>
      </c>
    </row>
    <row r="2772" spans="1:23" x14ac:dyDescent="0.25">
      <c r="A2772">
        <v>1383</v>
      </c>
      <c r="B2772">
        <v>2944</v>
      </c>
      <c r="C2772" t="s">
        <v>4013</v>
      </c>
      <c r="D2772" t="s">
        <v>258</v>
      </c>
      <c r="E2772" t="s">
        <v>37</v>
      </c>
      <c r="F2772" t="s">
        <v>4014</v>
      </c>
      <c r="G2772" t="str">
        <f>"201406014752"</f>
        <v>201406014752</v>
      </c>
      <c r="H2772" t="s">
        <v>1238</v>
      </c>
      <c r="I2772">
        <v>0</v>
      </c>
      <c r="J2772">
        <v>70</v>
      </c>
      <c r="K2772">
        <v>0</v>
      </c>
      <c r="L2772">
        <v>0</v>
      </c>
      <c r="M2772">
        <v>0</v>
      </c>
      <c r="N2772">
        <v>0</v>
      </c>
      <c r="O2772">
        <v>0</v>
      </c>
      <c r="P2772">
        <v>30</v>
      </c>
      <c r="Q2772">
        <v>0</v>
      </c>
      <c r="R2772">
        <v>29</v>
      </c>
      <c r="S2772">
        <v>203</v>
      </c>
      <c r="T2772">
        <v>0</v>
      </c>
      <c r="V2772">
        <v>0</v>
      </c>
      <c r="W2772" t="s">
        <v>4015</v>
      </c>
    </row>
    <row r="2773" spans="1:23" x14ac:dyDescent="0.25">
      <c r="H2773">
        <v>703</v>
      </c>
    </row>
    <row r="2774" spans="1:23" x14ac:dyDescent="0.25">
      <c r="A2774">
        <v>1384</v>
      </c>
      <c r="B2774">
        <v>2187</v>
      </c>
      <c r="C2774" t="s">
        <v>1904</v>
      </c>
      <c r="D2774" t="s">
        <v>112</v>
      </c>
      <c r="E2774" t="s">
        <v>15</v>
      </c>
      <c r="F2774" t="s">
        <v>4016</v>
      </c>
      <c r="G2774" t="str">
        <f>"201410011423"</f>
        <v>201410011423</v>
      </c>
      <c r="H2774">
        <v>990</v>
      </c>
      <c r="I2774">
        <v>0</v>
      </c>
      <c r="J2774">
        <v>70</v>
      </c>
      <c r="K2774">
        <v>30</v>
      </c>
      <c r="L2774">
        <v>0</v>
      </c>
      <c r="M2774">
        <v>0</v>
      </c>
      <c r="N2774">
        <v>0</v>
      </c>
      <c r="O2774">
        <v>0</v>
      </c>
      <c r="P2774">
        <v>0</v>
      </c>
      <c r="Q2774">
        <v>0</v>
      </c>
      <c r="R2774">
        <v>14</v>
      </c>
      <c r="S2774">
        <v>98</v>
      </c>
      <c r="T2774">
        <v>0</v>
      </c>
      <c r="V2774">
        <v>0</v>
      </c>
      <c r="W2774">
        <v>1188</v>
      </c>
    </row>
    <row r="2775" spans="1:23" x14ac:dyDescent="0.25">
      <c r="H2775" t="s">
        <v>26</v>
      </c>
    </row>
    <row r="2776" spans="1:23" x14ac:dyDescent="0.25">
      <c r="A2776">
        <v>1385</v>
      </c>
      <c r="B2776">
        <v>2757</v>
      </c>
      <c r="C2776" t="s">
        <v>4017</v>
      </c>
      <c r="D2776" t="s">
        <v>697</v>
      </c>
      <c r="E2776" t="s">
        <v>53</v>
      </c>
      <c r="F2776" t="s">
        <v>4018</v>
      </c>
      <c r="G2776" t="str">
        <f>"00161394"</f>
        <v>00161394</v>
      </c>
      <c r="H2776" t="s">
        <v>594</v>
      </c>
      <c r="I2776">
        <v>0</v>
      </c>
      <c r="J2776">
        <v>0</v>
      </c>
      <c r="K2776">
        <v>0</v>
      </c>
      <c r="L2776">
        <v>0</v>
      </c>
      <c r="M2776">
        <v>0</v>
      </c>
      <c r="N2776">
        <v>0</v>
      </c>
      <c r="O2776">
        <v>0</v>
      </c>
      <c r="P2776">
        <v>0</v>
      </c>
      <c r="Q2776">
        <v>0</v>
      </c>
      <c r="R2776">
        <v>30</v>
      </c>
      <c r="S2776">
        <v>210</v>
      </c>
      <c r="T2776">
        <v>0</v>
      </c>
      <c r="V2776">
        <v>0</v>
      </c>
      <c r="W2776" t="s">
        <v>4019</v>
      </c>
    </row>
    <row r="2777" spans="1:23" x14ac:dyDescent="0.25">
      <c r="H2777">
        <v>703</v>
      </c>
    </row>
    <row r="2778" spans="1:23" x14ac:dyDescent="0.25">
      <c r="A2778">
        <v>1386</v>
      </c>
      <c r="B2778">
        <v>1729</v>
      </c>
      <c r="C2778" t="s">
        <v>1313</v>
      </c>
      <c r="D2778" t="s">
        <v>46</v>
      </c>
      <c r="E2778" t="s">
        <v>91</v>
      </c>
      <c r="F2778" t="s">
        <v>4020</v>
      </c>
      <c r="G2778" t="str">
        <f>"201406000373"</f>
        <v>201406000373</v>
      </c>
      <c r="H2778">
        <v>957</v>
      </c>
      <c r="I2778">
        <v>150</v>
      </c>
      <c r="J2778">
        <v>30</v>
      </c>
      <c r="K2778">
        <v>0</v>
      </c>
      <c r="L2778">
        <v>50</v>
      </c>
      <c r="M2778">
        <v>0</v>
      </c>
      <c r="N2778">
        <v>0</v>
      </c>
      <c r="O2778">
        <v>0</v>
      </c>
      <c r="P2778">
        <v>0</v>
      </c>
      <c r="Q2778">
        <v>0</v>
      </c>
      <c r="R2778">
        <v>0</v>
      </c>
      <c r="S2778">
        <v>0</v>
      </c>
      <c r="T2778">
        <v>0</v>
      </c>
      <c r="V2778">
        <v>0</v>
      </c>
      <c r="W2778">
        <v>1187</v>
      </c>
    </row>
    <row r="2779" spans="1:23" x14ac:dyDescent="0.25">
      <c r="H2779" t="s">
        <v>26</v>
      </c>
    </row>
    <row r="2780" spans="1:23" x14ac:dyDescent="0.25">
      <c r="A2780">
        <v>1387</v>
      </c>
      <c r="B2780">
        <v>902</v>
      </c>
      <c r="C2780" t="s">
        <v>4021</v>
      </c>
      <c r="D2780" t="s">
        <v>3715</v>
      </c>
      <c r="E2780" t="s">
        <v>76</v>
      </c>
      <c r="F2780" t="s">
        <v>4022</v>
      </c>
      <c r="G2780" t="str">
        <f>"00230798"</f>
        <v>00230798</v>
      </c>
      <c r="H2780" t="s">
        <v>237</v>
      </c>
      <c r="I2780">
        <v>150</v>
      </c>
      <c r="J2780">
        <v>30</v>
      </c>
      <c r="K2780">
        <v>0</v>
      </c>
      <c r="L2780">
        <v>0</v>
      </c>
      <c r="M2780">
        <v>0</v>
      </c>
      <c r="N2780">
        <v>0</v>
      </c>
      <c r="O2780">
        <v>0</v>
      </c>
      <c r="P2780">
        <v>0</v>
      </c>
      <c r="Q2780">
        <v>0</v>
      </c>
      <c r="R2780">
        <v>0</v>
      </c>
      <c r="S2780">
        <v>0</v>
      </c>
      <c r="T2780">
        <v>0</v>
      </c>
      <c r="V2780">
        <v>0</v>
      </c>
      <c r="W2780" t="s">
        <v>4023</v>
      </c>
    </row>
    <row r="2781" spans="1:23" x14ac:dyDescent="0.25">
      <c r="H2781" t="s">
        <v>26</v>
      </c>
    </row>
    <row r="2782" spans="1:23" x14ac:dyDescent="0.25">
      <c r="A2782">
        <v>1388</v>
      </c>
      <c r="B2782">
        <v>2869</v>
      </c>
      <c r="C2782" t="s">
        <v>4024</v>
      </c>
      <c r="D2782" t="s">
        <v>444</v>
      </c>
      <c r="E2782" t="s">
        <v>53</v>
      </c>
      <c r="F2782" t="s">
        <v>4025</v>
      </c>
      <c r="G2782" t="str">
        <f>"00202467"</f>
        <v>00202467</v>
      </c>
      <c r="H2782" t="s">
        <v>1001</v>
      </c>
      <c r="I2782">
        <v>150</v>
      </c>
      <c r="J2782">
        <v>0</v>
      </c>
      <c r="K2782">
        <v>0</v>
      </c>
      <c r="L2782">
        <v>0</v>
      </c>
      <c r="M2782">
        <v>0</v>
      </c>
      <c r="N2782">
        <v>0</v>
      </c>
      <c r="O2782">
        <v>0</v>
      </c>
      <c r="P2782">
        <v>0</v>
      </c>
      <c r="Q2782">
        <v>0</v>
      </c>
      <c r="R2782">
        <v>20</v>
      </c>
      <c r="S2782">
        <v>140</v>
      </c>
      <c r="T2782">
        <v>0</v>
      </c>
      <c r="V2782">
        <v>0</v>
      </c>
      <c r="W2782" t="s">
        <v>4023</v>
      </c>
    </row>
    <row r="2783" spans="1:23" x14ac:dyDescent="0.25">
      <c r="H2783">
        <v>703</v>
      </c>
    </row>
    <row r="2784" spans="1:23" x14ac:dyDescent="0.25">
      <c r="A2784">
        <v>1389</v>
      </c>
      <c r="B2784">
        <v>2305</v>
      </c>
      <c r="C2784" t="s">
        <v>4026</v>
      </c>
      <c r="D2784" t="s">
        <v>251</v>
      </c>
      <c r="E2784" t="s">
        <v>607</v>
      </c>
      <c r="F2784" t="s">
        <v>4027</v>
      </c>
      <c r="G2784" t="str">
        <f>"201511017480"</f>
        <v>201511017480</v>
      </c>
      <c r="H2784" t="s">
        <v>4028</v>
      </c>
      <c r="I2784">
        <v>150</v>
      </c>
      <c r="J2784">
        <v>50</v>
      </c>
      <c r="K2784">
        <v>0</v>
      </c>
      <c r="L2784">
        <v>0</v>
      </c>
      <c r="M2784">
        <v>0</v>
      </c>
      <c r="N2784">
        <v>0</v>
      </c>
      <c r="O2784">
        <v>0</v>
      </c>
      <c r="P2784">
        <v>0</v>
      </c>
      <c r="Q2784">
        <v>0</v>
      </c>
      <c r="R2784">
        <v>24</v>
      </c>
      <c r="S2784">
        <v>168</v>
      </c>
      <c r="T2784">
        <v>0</v>
      </c>
      <c r="V2784">
        <v>0</v>
      </c>
      <c r="W2784" t="s">
        <v>4029</v>
      </c>
    </row>
    <row r="2785" spans="1:23" x14ac:dyDescent="0.25">
      <c r="H2785">
        <v>703</v>
      </c>
    </row>
    <row r="2786" spans="1:23" x14ac:dyDescent="0.25">
      <c r="A2786">
        <v>1390</v>
      </c>
      <c r="B2786">
        <v>1189</v>
      </c>
      <c r="C2786" t="s">
        <v>4030</v>
      </c>
      <c r="D2786" t="s">
        <v>273</v>
      </c>
      <c r="E2786" t="s">
        <v>53</v>
      </c>
      <c r="F2786" t="s">
        <v>4031</v>
      </c>
      <c r="G2786" t="str">
        <f>"201406005768"</f>
        <v>201406005768</v>
      </c>
      <c r="H2786">
        <v>1056</v>
      </c>
      <c r="I2786">
        <v>0</v>
      </c>
      <c r="J2786">
        <v>70</v>
      </c>
      <c r="K2786">
        <v>0</v>
      </c>
      <c r="L2786">
        <v>30</v>
      </c>
      <c r="M2786">
        <v>0</v>
      </c>
      <c r="N2786">
        <v>30</v>
      </c>
      <c r="O2786">
        <v>0</v>
      </c>
      <c r="P2786">
        <v>0</v>
      </c>
      <c r="Q2786">
        <v>0</v>
      </c>
      <c r="R2786">
        <v>0</v>
      </c>
      <c r="S2786">
        <v>0</v>
      </c>
      <c r="T2786">
        <v>0</v>
      </c>
      <c r="V2786">
        <v>0</v>
      </c>
      <c r="W2786">
        <v>1186</v>
      </c>
    </row>
    <row r="2787" spans="1:23" x14ac:dyDescent="0.25">
      <c r="H2787" t="s">
        <v>70</v>
      </c>
    </row>
    <row r="2788" spans="1:23" x14ac:dyDescent="0.25">
      <c r="A2788">
        <v>1391</v>
      </c>
      <c r="B2788">
        <v>1960</v>
      </c>
      <c r="C2788" t="s">
        <v>4032</v>
      </c>
      <c r="D2788" t="s">
        <v>46</v>
      </c>
      <c r="E2788" t="s">
        <v>752</v>
      </c>
      <c r="F2788" t="s">
        <v>4033</v>
      </c>
      <c r="G2788" t="str">
        <f>"200712002844"</f>
        <v>200712002844</v>
      </c>
      <c r="H2788" t="s">
        <v>73</v>
      </c>
      <c r="I2788">
        <v>0</v>
      </c>
      <c r="J2788">
        <v>70</v>
      </c>
      <c r="K2788">
        <v>0</v>
      </c>
      <c r="L2788">
        <v>0</v>
      </c>
      <c r="M2788">
        <v>30</v>
      </c>
      <c r="N2788">
        <v>0</v>
      </c>
      <c r="O2788">
        <v>0</v>
      </c>
      <c r="P2788">
        <v>0</v>
      </c>
      <c r="Q2788">
        <v>0</v>
      </c>
      <c r="R2788">
        <v>5</v>
      </c>
      <c r="S2788">
        <v>35</v>
      </c>
      <c r="T2788">
        <v>0</v>
      </c>
      <c r="V2788">
        <v>0</v>
      </c>
      <c r="W2788" t="s">
        <v>4034</v>
      </c>
    </row>
    <row r="2789" spans="1:23" x14ac:dyDescent="0.25">
      <c r="H2789" t="s">
        <v>70</v>
      </c>
    </row>
    <row r="2790" spans="1:23" x14ac:dyDescent="0.25">
      <c r="A2790">
        <v>1392</v>
      </c>
      <c r="B2790">
        <v>1232</v>
      </c>
      <c r="C2790" t="s">
        <v>4035</v>
      </c>
      <c r="D2790" t="s">
        <v>4036</v>
      </c>
      <c r="E2790" t="s">
        <v>135</v>
      </c>
      <c r="F2790" t="s">
        <v>4037</v>
      </c>
      <c r="G2790" t="str">
        <f>"201504002533"</f>
        <v>201504002533</v>
      </c>
      <c r="H2790" t="s">
        <v>2419</v>
      </c>
      <c r="I2790">
        <v>0</v>
      </c>
      <c r="J2790">
        <v>30</v>
      </c>
      <c r="K2790">
        <v>0</v>
      </c>
      <c r="L2790">
        <v>0</v>
      </c>
      <c r="M2790">
        <v>0</v>
      </c>
      <c r="N2790">
        <v>0</v>
      </c>
      <c r="O2790">
        <v>0</v>
      </c>
      <c r="P2790">
        <v>0</v>
      </c>
      <c r="Q2790">
        <v>0</v>
      </c>
      <c r="R2790">
        <v>59</v>
      </c>
      <c r="S2790">
        <v>413</v>
      </c>
      <c r="T2790">
        <v>0</v>
      </c>
      <c r="V2790">
        <v>0</v>
      </c>
      <c r="W2790" t="s">
        <v>4034</v>
      </c>
    </row>
    <row r="2791" spans="1:23" x14ac:dyDescent="0.25">
      <c r="H2791">
        <v>703</v>
      </c>
    </row>
    <row r="2792" spans="1:23" x14ac:dyDescent="0.25">
      <c r="A2792">
        <v>1393</v>
      </c>
      <c r="B2792">
        <v>2498</v>
      </c>
      <c r="C2792" t="s">
        <v>4038</v>
      </c>
      <c r="D2792" t="s">
        <v>226</v>
      </c>
      <c r="E2792" t="s">
        <v>109</v>
      </c>
      <c r="F2792" t="s">
        <v>4039</v>
      </c>
      <c r="G2792" t="str">
        <f>"00128887"</f>
        <v>00128887</v>
      </c>
      <c r="H2792" t="s">
        <v>209</v>
      </c>
      <c r="I2792">
        <v>0</v>
      </c>
      <c r="J2792">
        <v>30</v>
      </c>
      <c r="K2792">
        <v>70</v>
      </c>
      <c r="L2792">
        <v>0</v>
      </c>
      <c r="M2792">
        <v>0</v>
      </c>
      <c r="N2792">
        <v>0</v>
      </c>
      <c r="O2792">
        <v>0</v>
      </c>
      <c r="P2792">
        <v>0</v>
      </c>
      <c r="Q2792">
        <v>0</v>
      </c>
      <c r="R2792">
        <v>0</v>
      </c>
      <c r="S2792">
        <v>0</v>
      </c>
      <c r="T2792">
        <v>0</v>
      </c>
      <c r="V2792">
        <v>0</v>
      </c>
      <c r="W2792" t="s">
        <v>4040</v>
      </c>
    </row>
    <row r="2793" spans="1:23" x14ac:dyDescent="0.25">
      <c r="H2793" t="s">
        <v>26</v>
      </c>
    </row>
    <row r="2794" spans="1:23" x14ac:dyDescent="0.25">
      <c r="A2794">
        <v>1394</v>
      </c>
      <c r="B2794">
        <v>1522</v>
      </c>
      <c r="C2794" t="s">
        <v>4041</v>
      </c>
      <c r="D2794" t="s">
        <v>226</v>
      </c>
      <c r="E2794" t="s">
        <v>3518</v>
      </c>
      <c r="F2794" t="s">
        <v>4042</v>
      </c>
      <c r="G2794" t="str">
        <f>"201511023504"</f>
        <v>201511023504</v>
      </c>
      <c r="H2794" t="s">
        <v>4043</v>
      </c>
      <c r="I2794">
        <v>150</v>
      </c>
      <c r="J2794">
        <v>0</v>
      </c>
      <c r="K2794">
        <v>0</v>
      </c>
      <c r="L2794">
        <v>0</v>
      </c>
      <c r="M2794">
        <v>0</v>
      </c>
      <c r="N2794">
        <v>0</v>
      </c>
      <c r="O2794">
        <v>0</v>
      </c>
      <c r="P2794">
        <v>0</v>
      </c>
      <c r="Q2794">
        <v>0</v>
      </c>
      <c r="R2794">
        <v>0</v>
      </c>
      <c r="S2794">
        <v>0</v>
      </c>
      <c r="T2794">
        <v>0</v>
      </c>
      <c r="V2794">
        <v>0</v>
      </c>
      <c r="W2794" t="s">
        <v>4044</v>
      </c>
    </row>
    <row r="2795" spans="1:23" x14ac:dyDescent="0.25">
      <c r="H2795" t="s">
        <v>587</v>
      </c>
    </row>
    <row r="2796" spans="1:23" x14ac:dyDescent="0.25">
      <c r="A2796">
        <v>1395</v>
      </c>
      <c r="B2796">
        <v>2394</v>
      </c>
      <c r="C2796" t="s">
        <v>2500</v>
      </c>
      <c r="D2796" t="s">
        <v>87</v>
      </c>
      <c r="E2796" t="s">
        <v>53</v>
      </c>
      <c r="F2796" t="s">
        <v>4045</v>
      </c>
      <c r="G2796" t="str">
        <f>"00224421"</f>
        <v>00224421</v>
      </c>
      <c r="H2796" t="s">
        <v>465</v>
      </c>
      <c r="I2796">
        <v>150</v>
      </c>
      <c r="J2796">
        <v>70</v>
      </c>
      <c r="K2796">
        <v>0</v>
      </c>
      <c r="L2796">
        <v>0</v>
      </c>
      <c r="M2796">
        <v>0</v>
      </c>
      <c r="N2796">
        <v>0</v>
      </c>
      <c r="O2796">
        <v>0</v>
      </c>
      <c r="P2796">
        <v>0</v>
      </c>
      <c r="Q2796">
        <v>0</v>
      </c>
      <c r="R2796">
        <v>0</v>
      </c>
      <c r="S2796">
        <v>0</v>
      </c>
      <c r="T2796">
        <v>0</v>
      </c>
      <c r="V2796">
        <v>0</v>
      </c>
      <c r="W2796" t="s">
        <v>4046</v>
      </c>
    </row>
    <row r="2797" spans="1:23" x14ac:dyDescent="0.25">
      <c r="H2797" t="s">
        <v>26</v>
      </c>
    </row>
    <row r="2798" spans="1:23" x14ac:dyDescent="0.25">
      <c r="A2798">
        <v>1396</v>
      </c>
      <c r="B2798">
        <v>2183</v>
      </c>
      <c r="C2798" t="s">
        <v>4047</v>
      </c>
      <c r="D2798" t="s">
        <v>112</v>
      </c>
      <c r="E2798" t="s">
        <v>482</v>
      </c>
      <c r="F2798" t="s">
        <v>4048</v>
      </c>
      <c r="G2798" t="str">
        <f>"00128154"</f>
        <v>00128154</v>
      </c>
      <c r="H2798" t="s">
        <v>644</v>
      </c>
      <c r="I2798">
        <v>150</v>
      </c>
      <c r="J2798">
        <v>0</v>
      </c>
      <c r="K2798">
        <v>0</v>
      </c>
      <c r="L2798">
        <v>30</v>
      </c>
      <c r="M2798">
        <v>0</v>
      </c>
      <c r="N2798">
        <v>0</v>
      </c>
      <c r="O2798">
        <v>0</v>
      </c>
      <c r="P2798">
        <v>0</v>
      </c>
      <c r="Q2798">
        <v>0</v>
      </c>
      <c r="R2798">
        <v>0</v>
      </c>
      <c r="S2798">
        <v>0</v>
      </c>
      <c r="T2798">
        <v>0</v>
      </c>
      <c r="V2798">
        <v>0</v>
      </c>
      <c r="W2798" t="s">
        <v>4049</v>
      </c>
    </row>
    <row r="2799" spans="1:23" x14ac:dyDescent="0.25">
      <c r="H2799">
        <v>703</v>
      </c>
    </row>
    <row r="2800" spans="1:23" x14ac:dyDescent="0.25">
      <c r="A2800">
        <v>1397</v>
      </c>
      <c r="B2800">
        <v>2621</v>
      </c>
      <c r="C2800" t="s">
        <v>4050</v>
      </c>
      <c r="D2800" t="s">
        <v>112</v>
      </c>
      <c r="E2800" t="s">
        <v>91</v>
      </c>
      <c r="F2800" t="s">
        <v>4051</v>
      </c>
      <c r="G2800" t="str">
        <f>"201402007696"</f>
        <v>201402007696</v>
      </c>
      <c r="H2800">
        <v>902</v>
      </c>
      <c r="I2800">
        <v>150</v>
      </c>
      <c r="J2800">
        <v>70</v>
      </c>
      <c r="K2800">
        <v>30</v>
      </c>
      <c r="L2800">
        <v>0</v>
      </c>
      <c r="M2800">
        <v>30</v>
      </c>
      <c r="N2800">
        <v>0</v>
      </c>
      <c r="O2800">
        <v>0</v>
      </c>
      <c r="P2800">
        <v>0</v>
      </c>
      <c r="Q2800">
        <v>0</v>
      </c>
      <c r="R2800">
        <v>0</v>
      </c>
      <c r="S2800">
        <v>0</v>
      </c>
      <c r="T2800">
        <v>0</v>
      </c>
      <c r="V2800">
        <v>0</v>
      </c>
      <c r="W2800">
        <v>1182</v>
      </c>
    </row>
    <row r="2801" spans="1:23" x14ac:dyDescent="0.25">
      <c r="H2801" t="s">
        <v>26</v>
      </c>
    </row>
    <row r="2802" spans="1:23" x14ac:dyDescent="0.25">
      <c r="A2802">
        <v>1398</v>
      </c>
      <c r="B2802">
        <v>704</v>
      </c>
      <c r="C2802" t="s">
        <v>4052</v>
      </c>
      <c r="D2802" t="s">
        <v>99</v>
      </c>
      <c r="E2802" t="s">
        <v>53</v>
      </c>
      <c r="F2802" t="s">
        <v>4053</v>
      </c>
      <c r="G2802" t="str">
        <f>"201402005864"</f>
        <v>201402005864</v>
      </c>
      <c r="H2802">
        <v>891</v>
      </c>
      <c r="I2802">
        <v>150</v>
      </c>
      <c r="J2802">
        <v>50</v>
      </c>
      <c r="K2802">
        <v>0</v>
      </c>
      <c r="L2802">
        <v>0</v>
      </c>
      <c r="M2802">
        <v>0</v>
      </c>
      <c r="N2802">
        <v>0</v>
      </c>
      <c r="O2802">
        <v>0</v>
      </c>
      <c r="P2802">
        <v>0</v>
      </c>
      <c r="Q2802">
        <v>0</v>
      </c>
      <c r="R2802">
        <v>13</v>
      </c>
      <c r="S2802">
        <v>91</v>
      </c>
      <c r="T2802">
        <v>0</v>
      </c>
      <c r="V2802">
        <v>1</v>
      </c>
      <c r="W2802">
        <v>1182</v>
      </c>
    </row>
    <row r="2803" spans="1:23" x14ac:dyDescent="0.25">
      <c r="H2803">
        <v>703</v>
      </c>
    </row>
    <row r="2804" spans="1:23" x14ac:dyDescent="0.25">
      <c r="A2804">
        <v>1399</v>
      </c>
      <c r="B2804">
        <v>3108</v>
      </c>
      <c r="C2804" t="s">
        <v>4054</v>
      </c>
      <c r="D2804" t="s">
        <v>4055</v>
      </c>
      <c r="E2804" t="s">
        <v>53</v>
      </c>
      <c r="F2804" t="s">
        <v>4056</v>
      </c>
      <c r="G2804" t="str">
        <f>"201412004706"</f>
        <v>201412004706</v>
      </c>
      <c r="H2804">
        <v>858</v>
      </c>
      <c r="I2804">
        <v>0</v>
      </c>
      <c r="J2804">
        <v>70</v>
      </c>
      <c r="K2804">
        <v>0</v>
      </c>
      <c r="L2804">
        <v>0</v>
      </c>
      <c r="M2804">
        <v>30</v>
      </c>
      <c r="N2804">
        <v>0</v>
      </c>
      <c r="O2804">
        <v>0</v>
      </c>
      <c r="P2804">
        <v>0</v>
      </c>
      <c r="Q2804">
        <v>0</v>
      </c>
      <c r="R2804">
        <v>32</v>
      </c>
      <c r="S2804">
        <v>224</v>
      </c>
      <c r="T2804">
        <v>0</v>
      </c>
      <c r="V2804">
        <v>1</v>
      </c>
      <c r="W2804">
        <v>1182</v>
      </c>
    </row>
    <row r="2805" spans="1:23" x14ac:dyDescent="0.25">
      <c r="H2805" t="s">
        <v>26</v>
      </c>
    </row>
    <row r="2806" spans="1:23" x14ac:dyDescent="0.25">
      <c r="A2806">
        <v>1400</v>
      </c>
      <c r="B2806">
        <v>151</v>
      </c>
      <c r="C2806" t="s">
        <v>4057</v>
      </c>
      <c r="D2806" t="s">
        <v>4058</v>
      </c>
      <c r="E2806" t="s">
        <v>21</v>
      </c>
      <c r="F2806" t="s">
        <v>4059</v>
      </c>
      <c r="G2806" t="str">
        <f>"201511025781"</f>
        <v>201511025781</v>
      </c>
      <c r="H2806" t="s">
        <v>1672</v>
      </c>
      <c r="I2806">
        <v>0</v>
      </c>
      <c r="J2806">
        <v>30</v>
      </c>
      <c r="K2806">
        <v>0</v>
      </c>
      <c r="L2806">
        <v>0</v>
      </c>
      <c r="M2806">
        <v>0</v>
      </c>
      <c r="N2806">
        <v>0</v>
      </c>
      <c r="O2806">
        <v>0</v>
      </c>
      <c r="P2806">
        <v>0</v>
      </c>
      <c r="Q2806">
        <v>0</v>
      </c>
      <c r="R2806">
        <v>8</v>
      </c>
      <c r="S2806">
        <v>56</v>
      </c>
      <c r="T2806">
        <v>0</v>
      </c>
      <c r="V2806">
        <v>0</v>
      </c>
      <c r="W2806" t="s">
        <v>4060</v>
      </c>
    </row>
    <row r="2807" spans="1:23" x14ac:dyDescent="0.25">
      <c r="H2807">
        <v>703</v>
      </c>
    </row>
    <row r="2808" spans="1:23" x14ac:dyDescent="0.25">
      <c r="A2808">
        <v>1401</v>
      </c>
      <c r="B2808">
        <v>2670</v>
      </c>
      <c r="C2808" t="s">
        <v>4061</v>
      </c>
      <c r="D2808" t="s">
        <v>2466</v>
      </c>
      <c r="E2808" t="s">
        <v>76</v>
      </c>
      <c r="F2808" t="s">
        <v>4062</v>
      </c>
      <c r="G2808" t="str">
        <f>"00122627"</f>
        <v>00122627</v>
      </c>
      <c r="H2808" t="s">
        <v>142</v>
      </c>
      <c r="I2808">
        <v>0</v>
      </c>
      <c r="J2808">
        <v>70</v>
      </c>
      <c r="K2808">
        <v>50</v>
      </c>
      <c r="L2808">
        <v>0</v>
      </c>
      <c r="M2808">
        <v>0</v>
      </c>
      <c r="N2808">
        <v>0</v>
      </c>
      <c r="O2808">
        <v>0</v>
      </c>
      <c r="P2808">
        <v>0</v>
      </c>
      <c r="Q2808">
        <v>0</v>
      </c>
      <c r="R2808">
        <v>0</v>
      </c>
      <c r="S2808">
        <v>0</v>
      </c>
      <c r="T2808">
        <v>0</v>
      </c>
      <c r="V2808">
        <v>0</v>
      </c>
      <c r="W2808" t="s">
        <v>4063</v>
      </c>
    </row>
    <row r="2809" spans="1:23" x14ac:dyDescent="0.25">
      <c r="H2809" t="s">
        <v>70</v>
      </c>
    </row>
    <row r="2810" spans="1:23" x14ac:dyDescent="0.25">
      <c r="A2810">
        <v>1402</v>
      </c>
      <c r="B2810">
        <v>3023</v>
      </c>
      <c r="C2810" t="s">
        <v>4064</v>
      </c>
      <c r="D2810" t="s">
        <v>4065</v>
      </c>
      <c r="E2810" t="s">
        <v>41</v>
      </c>
      <c r="F2810" t="s">
        <v>4066</v>
      </c>
      <c r="G2810" t="str">
        <f>"201405000318"</f>
        <v>201405000318</v>
      </c>
      <c r="H2810">
        <v>1012</v>
      </c>
      <c r="I2810">
        <v>0</v>
      </c>
      <c r="J2810">
        <v>50</v>
      </c>
      <c r="K2810">
        <v>0</v>
      </c>
      <c r="L2810">
        <v>0</v>
      </c>
      <c r="M2810">
        <v>0</v>
      </c>
      <c r="N2810">
        <v>0</v>
      </c>
      <c r="O2810">
        <v>0</v>
      </c>
      <c r="P2810">
        <v>0</v>
      </c>
      <c r="Q2810">
        <v>0</v>
      </c>
      <c r="R2810">
        <v>17</v>
      </c>
      <c r="S2810">
        <v>119</v>
      </c>
      <c r="T2810">
        <v>0</v>
      </c>
      <c r="V2810">
        <v>1</v>
      </c>
      <c r="W2810">
        <v>1181</v>
      </c>
    </row>
    <row r="2811" spans="1:23" x14ac:dyDescent="0.25">
      <c r="H2811">
        <v>703</v>
      </c>
    </row>
    <row r="2812" spans="1:23" x14ac:dyDescent="0.25">
      <c r="A2812">
        <v>1403</v>
      </c>
      <c r="B2812">
        <v>1400</v>
      </c>
      <c r="C2812" t="s">
        <v>4067</v>
      </c>
      <c r="D2812" t="s">
        <v>392</v>
      </c>
      <c r="E2812" t="s">
        <v>592</v>
      </c>
      <c r="F2812" t="s">
        <v>4068</v>
      </c>
      <c r="G2812" t="str">
        <f>"200802008179"</f>
        <v>200802008179</v>
      </c>
      <c r="H2812" t="s">
        <v>73</v>
      </c>
      <c r="I2812">
        <v>0</v>
      </c>
      <c r="J2812">
        <v>70</v>
      </c>
      <c r="K2812">
        <v>0</v>
      </c>
      <c r="L2812">
        <v>30</v>
      </c>
      <c r="M2812">
        <v>0</v>
      </c>
      <c r="N2812">
        <v>0</v>
      </c>
      <c r="O2812">
        <v>0</v>
      </c>
      <c r="P2812">
        <v>30</v>
      </c>
      <c r="Q2812">
        <v>0</v>
      </c>
      <c r="R2812">
        <v>0</v>
      </c>
      <c r="S2812">
        <v>0</v>
      </c>
      <c r="T2812">
        <v>0</v>
      </c>
      <c r="V2812">
        <v>0</v>
      </c>
      <c r="W2812" t="s">
        <v>4069</v>
      </c>
    </row>
    <row r="2813" spans="1:23" x14ac:dyDescent="0.25">
      <c r="H2813" t="s">
        <v>70</v>
      </c>
    </row>
    <row r="2814" spans="1:23" x14ac:dyDescent="0.25">
      <c r="A2814">
        <v>1404</v>
      </c>
      <c r="B2814">
        <v>2566</v>
      </c>
      <c r="C2814" t="s">
        <v>4070</v>
      </c>
      <c r="D2814" t="s">
        <v>20</v>
      </c>
      <c r="E2814" t="s">
        <v>15</v>
      </c>
      <c r="F2814" t="s">
        <v>4071</v>
      </c>
      <c r="G2814" t="str">
        <f>"00114510"</f>
        <v>00114510</v>
      </c>
      <c r="H2814" t="s">
        <v>531</v>
      </c>
      <c r="I2814">
        <v>0</v>
      </c>
      <c r="J2814">
        <v>30</v>
      </c>
      <c r="K2814">
        <v>0</v>
      </c>
      <c r="L2814">
        <v>0</v>
      </c>
      <c r="M2814">
        <v>0</v>
      </c>
      <c r="N2814">
        <v>0</v>
      </c>
      <c r="O2814">
        <v>0</v>
      </c>
      <c r="P2814">
        <v>0</v>
      </c>
      <c r="Q2814">
        <v>0</v>
      </c>
      <c r="R2814">
        <v>30</v>
      </c>
      <c r="S2814">
        <v>210</v>
      </c>
      <c r="T2814">
        <v>0</v>
      </c>
      <c r="V2814">
        <v>2</v>
      </c>
      <c r="W2814" t="s">
        <v>4069</v>
      </c>
    </row>
    <row r="2815" spans="1:23" x14ac:dyDescent="0.25">
      <c r="H2815">
        <v>703</v>
      </c>
    </row>
    <row r="2816" spans="1:23" x14ac:dyDescent="0.25">
      <c r="A2816">
        <v>1405</v>
      </c>
      <c r="B2816">
        <v>1026</v>
      </c>
      <c r="C2816" t="s">
        <v>4072</v>
      </c>
      <c r="D2816" t="s">
        <v>4073</v>
      </c>
      <c r="E2816" t="s">
        <v>109</v>
      </c>
      <c r="F2816" t="s">
        <v>4074</v>
      </c>
      <c r="G2816" t="str">
        <f>"00111611"</f>
        <v>00111611</v>
      </c>
      <c r="H2816" t="s">
        <v>840</v>
      </c>
      <c r="I2816">
        <v>150</v>
      </c>
      <c r="J2816">
        <v>70</v>
      </c>
      <c r="K2816">
        <v>0</v>
      </c>
      <c r="L2816">
        <v>0</v>
      </c>
      <c r="M2816">
        <v>0</v>
      </c>
      <c r="N2816">
        <v>0</v>
      </c>
      <c r="O2816">
        <v>0</v>
      </c>
      <c r="P2816">
        <v>0</v>
      </c>
      <c r="Q2816">
        <v>0</v>
      </c>
      <c r="R2816">
        <v>6</v>
      </c>
      <c r="S2816">
        <v>42</v>
      </c>
      <c r="T2816">
        <v>0</v>
      </c>
      <c r="V2816">
        <v>0</v>
      </c>
      <c r="W2816" t="s">
        <v>4069</v>
      </c>
    </row>
    <row r="2817" spans="1:23" x14ac:dyDescent="0.25">
      <c r="H2817" t="s">
        <v>70</v>
      </c>
    </row>
    <row r="2818" spans="1:23" x14ac:dyDescent="0.25">
      <c r="A2818">
        <v>1406</v>
      </c>
      <c r="B2818">
        <v>2992</v>
      </c>
      <c r="C2818" t="s">
        <v>4075</v>
      </c>
      <c r="D2818" t="s">
        <v>46</v>
      </c>
      <c r="E2818" t="s">
        <v>113</v>
      </c>
      <c r="F2818" t="s">
        <v>4076</v>
      </c>
      <c r="G2818" t="str">
        <f>"00228928"</f>
        <v>00228928</v>
      </c>
      <c r="H2818" t="s">
        <v>1014</v>
      </c>
      <c r="I2818">
        <v>150</v>
      </c>
      <c r="J2818">
        <v>30</v>
      </c>
      <c r="K2818">
        <v>0</v>
      </c>
      <c r="L2818">
        <v>0</v>
      </c>
      <c r="M2818">
        <v>0</v>
      </c>
      <c r="N2818">
        <v>0</v>
      </c>
      <c r="O2818">
        <v>0</v>
      </c>
      <c r="P2818">
        <v>0</v>
      </c>
      <c r="Q2818">
        <v>0</v>
      </c>
      <c r="R2818">
        <v>18</v>
      </c>
      <c r="S2818">
        <v>126</v>
      </c>
      <c r="T2818">
        <v>0</v>
      </c>
      <c r="V2818">
        <v>0</v>
      </c>
      <c r="W2818" t="s">
        <v>4069</v>
      </c>
    </row>
    <row r="2819" spans="1:23" x14ac:dyDescent="0.25">
      <c r="H2819" t="s">
        <v>26</v>
      </c>
    </row>
    <row r="2820" spans="1:23" x14ac:dyDescent="0.25">
      <c r="A2820">
        <v>1407</v>
      </c>
      <c r="B2820">
        <v>2482</v>
      </c>
      <c r="C2820" t="s">
        <v>4077</v>
      </c>
      <c r="D2820" t="s">
        <v>4078</v>
      </c>
      <c r="E2820" t="s">
        <v>53</v>
      </c>
      <c r="F2820" t="s">
        <v>4079</v>
      </c>
      <c r="G2820" t="str">
        <f>"201406013753"</f>
        <v>201406013753</v>
      </c>
      <c r="H2820" t="s">
        <v>2186</v>
      </c>
      <c r="I2820">
        <v>0</v>
      </c>
      <c r="J2820">
        <v>30</v>
      </c>
      <c r="K2820">
        <v>0</v>
      </c>
      <c r="L2820">
        <v>0</v>
      </c>
      <c r="M2820">
        <v>0</v>
      </c>
      <c r="N2820">
        <v>0</v>
      </c>
      <c r="O2820">
        <v>0</v>
      </c>
      <c r="P2820">
        <v>0</v>
      </c>
      <c r="Q2820">
        <v>0</v>
      </c>
      <c r="R2820">
        <v>41</v>
      </c>
      <c r="S2820">
        <v>287</v>
      </c>
      <c r="T2820">
        <v>0</v>
      </c>
      <c r="V2820">
        <v>0</v>
      </c>
      <c r="W2820" t="s">
        <v>4069</v>
      </c>
    </row>
    <row r="2821" spans="1:23" x14ac:dyDescent="0.25">
      <c r="H2821">
        <v>703</v>
      </c>
    </row>
    <row r="2822" spans="1:23" x14ac:dyDescent="0.25">
      <c r="A2822">
        <v>1408</v>
      </c>
      <c r="B2822">
        <v>321</v>
      </c>
      <c r="C2822" t="s">
        <v>4080</v>
      </c>
      <c r="D2822" t="s">
        <v>1684</v>
      </c>
      <c r="E2822" t="s">
        <v>4081</v>
      </c>
      <c r="F2822" t="s">
        <v>4082</v>
      </c>
      <c r="G2822" t="str">
        <f>"00122571"</f>
        <v>00122571</v>
      </c>
      <c r="H2822">
        <v>990</v>
      </c>
      <c r="I2822">
        <v>0</v>
      </c>
      <c r="J2822">
        <v>70</v>
      </c>
      <c r="K2822">
        <v>50</v>
      </c>
      <c r="L2822">
        <v>0</v>
      </c>
      <c r="M2822">
        <v>0</v>
      </c>
      <c r="N2822">
        <v>70</v>
      </c>
      <c r="O2822">
        <v>0</v>
      </c>
      <c r="P2822">
        <v>0</v>
      </c>
      <c r="Q2822">
        <v>0</v>
      </c>
      <c r="R2822">
        <v>0</v>
      </c>
      <c r="S2822">
        <v>0</v>
      </c>
      <c r="T2822">
        <v>0</v>
      </c>
      <c r="V2822">
        <v>0</v>
      </c>
      <c r="W2822">
        <v>1180</v>
      </c>
    </row>
    <row r="2823" spans="1:23" x14ac:dyDescent="0.25">
      <c r="H2823" t="s">
        <v>70</v>
      </c>
    </row>
    <row r="2824" spans="1:23" x14ac:dyDescent="0.25">
      <c r="A2824">
        <v>1409</v>
      </c>
      <c r="B2824">
        <v>43</v>
      </c>
      <c r="C2824" t="s">
        <v>4083</v>
      </c>
      <c r="D2824" t="s">
        <v>67</v>
      </c>
      <c r="E2824" t="s">
        <v>58</v>
      </c>
      <c r="F2824" t="s">
        <v>4084</v>
      </c>
      <c r="G2824" t="str">
        <f>"200811001145"</f>
        <v>200811001145</v>
      </c>
      <c r="H2824" t="s">
        <v>281</v>
      </c>
      <c r="I2824">
        <v>0</v>
      </c>
      <c r="J2824">
        <v>70</v>
      </c>
      <c r="K2824">
        <v>0</v>
      </c>
      <c r="L2824">
        <v>70</v>
      </c>
      <c r="M2824">
        <v>0</v>
      </c>
      <c r="N2824">
        <v>0</v>
      </c>
      <c r="O2824">
        <v>0</v>
      </c>
      <c r="P2824">
        <v>0</v>
      </c>
      <c r="Q2824">
        <v>0</v>
      </c>
      <c r="R2824">
        <v>0</v>
      </c>
      <c r="S2824">
        <v>0</v>
      </c>
      <c r="T2824">
        <v>0</v>
      </c>
      <c r="V2824">
        <v>0</v>
      </c>
      <c r="W2824" t="s">
        <v>4085</v>
      </c>
    </row>
    <row r="2825" spans="1:23" x14ac:dyDescent="0.25">
      <c r="H2825" t="s">
        <v>70</v>
      </c>
    </row>
    <row r="2826" spans="1:23" x14ac:dyDescent="0.25">
      <c r="A2826">
        <v>1410</v>
      </c>
      <c r="B2826">
        <v>1450</v>
      </c>
      <c r="C2826" t="s">
        <v>4086</v>
      </c>
      <c r="D2826" t="s">
        <v>273</v>
      </c>
      <c r="E2826" t="s">
        <v>1147</v>
      </c>
      <c r="F2826" t="s">
        <v>4087</v>
      </c>
      <c r="G2826" t="str">
        <f>"00121108"</f>
        <v>00121108</v>
      </c>
      <c r="H2826">
        <v>990</v>
      </c>
      <c r="I2826">
        <v>0</v>
      </c>
      <c r="J2826">
        <v>70</v>
      </c>
      <c r="K2826">
        <v>0</v>
      </c>
      <c r="L2826">
        <v>0</v>
      </c>
      <c r="M2826">
        <v>0</v>
      </c>
      <c r="N2826">
        <v>0</v>
      </c>
      <c r="O2826">
        <v>0</v>
      </c>
      <c r="P2826">
        <v>0</v>
      </c>
      <c r="Q2826">
        <v>0</v>
      </c>
      <c r="R2826">
        <v>17</v>
      </c>
      <c r="S2826">
        <v>119</v>
      </c>
      <c r="T2826">
        <v>0</v>
      </c>
      <c r="V2826">
        <v>0</v>
      </c>
      <c r="W2826">
        <v>1179</v>
      </c>
    </row>
    <row r="2827" spans="1:23" x14ac:dyDescent="0.25">
      <c r="H2827">
        <v>703</v>
      </c>
    </row>
    <row r="2828" spans="1:23" x14ac:dyDescent="0.25">
      <c r="A2828">
        <v>1411</v>
      </c>
      <c r="B2828">
        <v>1350</v>
      </c>
      <c r="C2828" t="s">
        <v>4088</v>
      </c>
      <c r="D2828" t="s">
        <v>37</v>
      </c>
      <c r="E2828" t="s">
        <v>41</v>
      </c>
      <c r="F2828" t="s">
        <v>4089</v>
      </c>
      <c r="G2828" t="str">
        <f>"00230810"</f>
        <v>00230810</v>
      </c>
      <c r="H2828" t="s">
        <v>187</v>
      </c>
      <c r="I2828">
        <v>150</v>
      </c>
      <c r="J2828">
        <v>0</v>
      </c>
      <c r="K2828">
        <v>0</v>
      </c>
      <c r="L2828">
        <v>0</v>
      </c>
      <c r="M2828">
        <v>0</v>
      </c>
      <c r="N2828">
        <v>0</v>
      </c>
      <c r="O2828">
        <v>0</v>
      </c>
      <c r="P2828">
        <v>0</v>
      </c>
      <c r="Q2828">
        <v>0</v>
      </c>
      <c r="R2828">
        <v>0</v>
      </c>
      <c r="S2828">
        <v>0</v>
      </c>
      <c r="T2828">
        <v>0</v>
      </c>
      <c r="V2828">
        <v>0</v>
      </c>
      <c r="W2828" t="s">
        <v>4090</v>
      </c>
    </row>
    <row r="2829" spans="1:23" x14ac:dyDescent="0.25">
      <c r="H2829">
        <v>703</v>
      </c>
    </row>
    <row r="2830" spans="1:23" x14ac:dyDescent="0.25">
      <c r="A2830">
        <v>1412</v>
      </c>
      <c r="B2830">
        <v>2600</v>
      </c>
      <c r="C2830" t="s">
        <v>4091</v>
      </c>
      <c r="D2830" t="s">
        <v>629</v>
      </c>
      <c r="E2830" t="s">
        <v>91</v>
      </c>
      <c r="F2830" t="s">
        <v>4092</v>
      </c>
      <c r="G2830" t="str">
        <f>"00020505"</f>
        <v>00020505</v>
      </c>
      <c r="H2830">
        <v>1078</v>
      </c>
      <c r="I2830">
        <v>0</v>
      </c>
      <c r="J2830">
        <v>70</v>
      </c>
      <c r="K2830">
        <v>0</v>
      </c>
      <c r="L2830">
        <v>0</v>
      </c>
      <c r="M2830">
        <v>30</v>
      </c>
      <c r="N2830">
        <v>0</v>
      </c>
      <c r="O2830">
        <v>0</v>
      </c>
      <c r="P2830">
        <v>0</v>
      </c>
      <c r="Q2830">
        <v>0</v>
      </c>
      <c r="R2830">
        <v>0</v>
      </c>
      <c r="S2830">
        <v>0</v>
      </c>
      <c r="T2830">
        <v>0</v>
      </c>
      <c r="V2830">
        <v>0</v>
      </c>
      <c r="W2830">
        <v>1178</v>
      </c>
    </row>
    <row r="2831" spans="1:23" x14ac:dyDescent="0.25">
      <c r="H2831" t="s">
        <v>70</v>
      </c>
    </row>
    <row r="2832" spans="1:23" x14ac:dyDescent="0.25">
      <c r="A2832">
        <v>1413</v>
      </c>
      <c r="B2832">
        <v>2158</v>
      </c>
      <c r="C2832" t="s">
        <v>4093</v>
      </c>
      <c r="D2832" t="s">
        <v>2114</v>
      </c>
      <c r="E2832" t="s">
        <v>53</v>
      </c>
      <c r="F2832" t="s">
        <v>4094</v>
      </c>
      <c r="G2832" t="str">
        <f>"00192122"</f>
        <v>00192122</v>
      </c>
      <c r="H2832">
        <v>1078</v>
      </c>
      <c r="I2832">
        <v>0</v>
      </c>
      <c r="J2832">
        <v>70</v>
      </c>
      <c r="K2832">
        <v>30</v>
      </c>
      <c r="L2832">
        <v>0</v>
      </c>
      <c r="M2832">
        <v>0</v>
      </c>
      <c r="N2832">
        <v>0</v>
      </c>
      <c r="O2832">
        <v>0</v>
      </c>
      <c r="P2832">
        <v>0</v>
      </c>
      <c r="Q2832">
        <v>0</v>
      </c>
      <c r="R2832">
        <v>0</v>
      </c>
      <c r="S2832">
        <v>0</v>
      </c>
      <c r="T2832">
        <v>0</v>
      </c>
      <c r="V2832">
        <v>2</v>
      </c>
      <c r="W2832">
        <v>1178</v>
      </c>
    </row>
    <row r="2833" spans="1:23" x14ac:dyDescent="0.25">
      <c r="H2833" t="s">
        <v>70</v>
      </c>
    </row>
    <row r="2834" spans="1:23" x14ac:dyDescent="0.25">
      <c r="A2834">
        <v>1414</v>
      </c>
      <c r="B2834">
        <v>207</v>
      </c>
      <c r="C2834" t="s">
        <v>1727</v>
      </c>
      <c r="D2834" t="s">
        <v>248</v>
      </c>
      <c r="E2834" t="s">
        <v>15</v>
      </c>
      <c r="F2834" t="s">
        <v>4095</v>
      </c>
      <c r="G2834" t="str">
        <f>"201405002275"</f>
        <v>201405002275</v>
      </c>
      <c r="H2834" t="s">
        <v>187</v>
      </c>
      <c r="I2834">
        <v>0</v>
      </c>
      <c r="J2834">
        <v>30</v>
      </c>
      <c r="K2834">
        <v>0</v>
      </c>
      <c r="L2834">
        <v>0</v>
      </c>
      <c r="M2834">
        <v>0</v>
      </c>
      <c r="N2834">
        <v>0</v>
      </c>
      <c r="O2834">
        <v>0</v>
      </c>
      <c r="P2834">
        <v>0</v>
      </c>
      <c r="Q2834">
        <v>0</v>
      </c>
      <c r="R2834">
        <v>17</v>
      </c>
      <c r="S2834">
        <v>119</v>
      </c>
      <c r="T2834">
        <v>0</v>
      </c>
      <c r="V2834">
        <v>0</v>
      </c>
      <c r="W2834" t="s">
        <v>4096</v>
      </c>
    </row>
    <row r="2835" spans="1:23" x14ac:dyDescent="0.25">
      <c r="H2835">
        <v>703</v>
      </c>
    </row>
    <row r="2836" spans="1:23" x14ac:dyDescent="0.25">
      <c r="A2836">
        <v>1415</v>
      </c>
      <c r="B2836">
        <v>599</v>
      </c>
      <c r="C2836" t="s">
        <v>4097</v>
      </c>
      <c r="D2836" t="s">
        <v>135</v>
      </c>
      <c r="E2836" t="s">
        <v>41</v>
      </c>
      <c r="F2836" t="s">
        <v>4098</v>
      </c>
      <c r="G2836" t="str">
        <f>"201406002377"</f>
        <v>201406002377</v>
      </c>
      <c r="H2836" t="s">
        <v>358</v>
      </c>
      <c r="I2836">
        <v>0</v>
      </c>
      <c r="J2836">
        <v>70</v>
      </c>
      <c r="K2836">
        <v>0</v>
      </c>
      <c r="L2836">
        <v>0</v>
      </c>
      <c r="M2836">
        <v>0</v>
      </c>
      <c r="N2836">
        <v>0</v>
      </c>
      <c r="O2836">
        <v>0</v>
      </c>
      <c r="P2836">
        <v>0</v>
      </c>
      <c r="Q2836">
        <v>0</v>
      </c>
      <c r="R2836">
        <v>16</v>
      </c>
      <c r="S2836">
        <v>112</v>
      </c>
      <c r="T2836">
        <v>0</v>
      </c>
      <c r="V2836">
        <v>1</v>
      </c>
      <c r="W2836" t="s">
        <v>4096</v>
      </c>
    </row>
    <row r="2837" spans="1:23" x14ac:dyDescent="0.25">
      <c r="H2837">
        <v>703</v>
      </c>
    </row>
    <row r="2838" spans="1:23" x14ac:dyDescent="0.25">
      <c r="A2838">
        <v>1416</v>
      </c>
      <c r="B2838">
        <v>1820</v>
      </c>
      <c r="C2838" t="s">
        <v>1248</v>
      </c>
      <c r="D2838" t="s">
        <v>722</v>
      </c>
      <c r="E2838" t="s">
        <v>58</v>
      </c>
      <c r="F2838" t="s">
        <v>4099</v>
      </c>
      <c r="G2838" t="str">
        <f>"00132633"</f>
        <v>00132633</v>
      </c>
      <c r="H2838" t="s">
        <v>1049</v>
      </c>
      <c r="I2838">
        <v>0</v>
      </c>
      <c r="J2838">
        <v>30</v>
      </c>
      <c r="K2838">
        <v>0</v>
      </c>
      <c r="L2838">
        <v>0</v>
      </c>
      <c r="M2838">
        <v>30</v>
      </c>
      <c r="N2838">
        <v>0</v>
      </c>
      <c r="O2838">
        <v>0</v>
      </c>
      <c r="P2838">
        <v>0</v>
      </c>
      <c r="Q2838">
        <v>0</v>
      </c>
      <c r="R2838">
        <v>30</v>
      </c>
      <c r="S2838">
        <v>210</v>
      </c>
      <c r="T2838">
        <v>0</v>
      </c>
      <c r="V2838">
        <v>1</v>
      </c>
      <c r="W2838" t="s">
        <v>4096</v>
      </c>
    </row>
    <row r="2839" spans="1:23" x14ac:dyDescent="0.25">
      <c r="H2839" t="s">
        <v>70</v>
      </c>
    </row>
    <row r="2840" spans="1:23" x14ac:dyDescent="0.25">
      <c r="A2840">
        <v>1417</v>
      </c>
      <c r="B2840">
        <v>1035</v>
      </c>
      <c r="C2840" t="s">
        <v>4100</v>
      </c>
      <c r="D2840" t="s">
        <v>28</v>
      </c>
      <c r="E2840" t="s">
        <v>109</v>
      </c>
      <c r="F2840" t="s">
        <v>4101</v>
      </c>
      <c r="G2840" t="str">
        <f>"200801004637"</f>
        <v>200801004637</v>
      </c>
      <c r="H2840">
        <v>869</v>
      </c>
      <c r="I2840">
        <v>0</v>
      </c>
      <c r="J2840">
        <v>0</v>
      </c>
      <c r="K2840">
        <v>0</v>
      </c>
      <c r="L2840">
        <v>0</v>
      </c>
      <c r="M2840">
        <v>0</v>
      </c>
      <c r="N2840">
        <v>0</v>
      </c>
      <c r="O2840">
        <v>0</v>
      </c>
      <c r="P2840">
        <v>0</v>
      </c>
      <c r="Q2840">
        <v>0</v>
      </c>
      <c r="R2840">
        <v>44</v>
      </c>
      <c r="S2840">
        <v>308</v>
      </c>
      <c r="T2840">
        <v>0</v>
      </c>
      <c r="V2840">
        <v>0</v>
      </c>
      <c r="W2840">
        <v>1177</v>
      </c>
    </row>
    <row r="2841" spans="1:23" x14ac:dyDescent="0.25">
      <c r="H2841">
        <v>703</v>
      </c>
    </row>
    <row r="2842" spans="1:23" x14ac:dyDescent="0.25">
      <c r="A2842">
        <v>1418</v>
      </c>
      <c r="B2842">
        <v>2244</v>
      </c>
      <c r="C2842" t="s">
        <v>1683</v>
      </c>
      <c r="D2842" t="s">
        <v>268</v>
      </c>
      <c r="E2842" t="s">
        <v>53</v>
      </c>
      <c r="F2842" t="s">
        <v>4102</v>
      </c>
      <c r="G2842" t="str">
        <f>"00230504"</f>
        <v>00230504</v>
      </c>
      <c r="H2842" t="s">
        <v>73</v>
      </c>
      <c r="I2842">
        <v>0</v>
      </c>
      <c r="J2842">
        <v>70</v>
      </c>
      <c r="K2842">
        <v>0</v>
      </c>
      <c r="L2842">
        <v>0</v>
      </c>
      <c r="M2842">
        <v>0</v>
      </c>
      <c r="N2842">
        <v>0</v>
      </c>
      <c r="O2842">
        <v>0</v>
      </c>
      <c r="P2842">
        <v>0</v>
      </c>
      <c r="Q2842">
        <v>0</v>
      </c>
      <c r="R2842">
        <v>8</v>
      </c>
      <c r="S2842">
        <v>56</v>
      </c>
      <c r="T2842">
        <v>0</v>
      </c>
      <c r="V2842">
        <v>0</v>
      </c>
      <c r="W2842" t="s">
        <v>4103</v>
      </c>
    </row>
    <row r="2843" spans="1:23" x14ac:dyDescent="0.25">
      <c r="H2843">
        <v>703</v>
      </c>
    </row>
    <row r="2844" spans="1:23" x14ac:dyDescent="0.25">
      <c r="A2844">
        <v>1419</v>
      </c>
      <c r="B2844">
        <v>991</v>
      </c>
      <c r="C2844" t="s">
        <v>4104</v>
      </c>
      <c r="D2844" t="s">
        <v>432</v>
      </c>
      <c r="E2844" t="s">
        <v>15</v>
      </c>
      <c r="F2844" t="s">
        <v>4105</v>
      </c>
      <c r="G2844" t="str">
        <f>"00158670"</f>
        <v>00158670</v>
      </c>
      <c r="H2844" t="s">
        <v>1514</v>
      </c>
      <c r="I2844">
        <v>150</v>
      </c>
      <c r="J2844">
        <v>70</v>
      </c>
      <c r="K2844">
        <v>0</v>
      </c>
      <c r="L2844">
        <v>0</v>
      </c>
      <c r="M2844">
        <v>0</v>
      </c>
      <c r="N2844">
        <v>0</v>
      </c>
      <c r="O2844">
        <v>0</v>
      </c>
      <c r="P2844">
        <v>0</v>
      </c>
      <c r="Q2844">
        <v>0</v>
      </c>
      <c r="R2844">
        <v>18</v>
      </c>
      <c r="S2844">
        <v>126</v>
      </c>
      <c r="T2844">
        <v>0</v>
      </c>
      <c r="V2844">
        <v>0</v>
      </c>
      <c r="W2844" t="s">
        <v>4103</v>
      </c>
    </row>
    <row r="2845" spans="1:23" x14ac:dyDescent="0.25">
      <c r="H2845">
        <v>703</v>
      </c>
    </row>
    <row r="2846" spans="1:23" x14ac:dyDescent="0.25">
      <c r="A2846">
        <v>1420</v>
      </c>
      <c r="B2846">
        <v>162</v>
      </c>
      <c r="C2846" t="s">
        <v>4106</v>
      </c>
      <c r="D2846" t="s">
        <v>2758</v>
      </c>
      <c r="E2846" t="s">
        <v>91</v>
      </c>
      <c r="F2846" t="s">
        <v>4107</v>
      </c>
      <c r="G2846" t="str">
        <f>"00221163"</f>
        <v>00221163</v>
      </c>
      <c r="H2846" t="s">
        <v>4108</v>
      </c>
      <c r="I2846">
        <v>0</v>
      </c>
      <c r="J2846">
        <v>0</v>
      </c>
      <c r="K2846">
        <v>0</v>
      </c>
      <c r="L2846">
        <v>0</v>
      </c>
      <c r="M2846">
        <v>0</v>
      </c>
      <c r="N2846">
        <v>0</v>
      </c>
      <c r="O2846">
        <v>0</v>
      </c>
      <c r="P2846">
        <v>0</v>
      </c>
      <c r="Q2846">
        <v>0</v>
      </c>
      <c r="R2846">
        <v>84</v>
      </c>
      <c r="S2846">
        <v>588</v>
      </c>
      <c r="T2846">
        <v>0</v>
      </c>
      <c r="V2846">
        <v>2</v>
      </c>
      <c r="W2846" t="s">
        <v>4103</v>
      </c>
    </row>
    <row r="2847" spans="1:23" x14ac:dyDescent="0.25">
      <c r="H2847">
        <v>703</v>
      </c>
    </row>
    <row r="2848" spans="1:23" x14ac:dyDescent="0.25">
      <c r="A2848">
        <v>1421</v>
      </c>
      <c r="B2848">
        <v>1486</v>
      </c>
      <c r="C2848" t="s">
        <v>4109</v>
      </c>
      <c r="D2848" t="s">
        <v>41</v>
      </c>
      <c r="E2848" t="s">
        <v>356</v>
      </c>
      <c r="F2848" t="s">
        <v>4110</v>
      </c>
      <c r="G2848" t="str">
        <f>"201507003973"</f>
        <v>201507003973</v>
      </c>
      <c r="H2848" t="s">
        <v>800</v>
      </c>
      <c r="I2848">
        <v>0</v>
      </c>
      <c r="J2848">
        <v>30</v>
      </c>
      <c r="K2848">
        <v>0</v>
      </c>
      <c r="L2848">
        <v>0</v>
      </c>
      <c r="M2848">
        <v>0</v>
      </c>
      <c r="N2848">
        <v>0</v>
      </c>
      <c r="O2848">
        <v>0</v>
      </c>
      <c r="P2848">
        <v>0</v>
      </c>
      <c r="Q2848">
        <v>0</v>
      </c>
      <c r="R2848">
        <v>36</v>
      </c>
      <c r="S2848">
        <v>252</v>
      </c>
      <c r="T2848">
        <v>0</v>
      </c>
      <c r="V2848">
        <v>0</v>
      </c>
      <c r="W2848" t="s">
        <v>4111</v>
      </c>
    </row>
    <row r="2849" spans="1:23" x14ac:dyDescent="0.25">
      <c r="H2849">
        <v>703</v>
      </c>
    </row>
    <row r="2850" spans="1:23" x14ac:dyDescent="0.25">
      <c r="A2850">
        <v>1422</v>
      </c>
      <c r="B2850">
        <v>521</v>
      </c>
      <c r="C2850" t="s">
        <v>4112</v>
      </c>
      <c r="D2850" t="s">
        <v>99</v>
      </c>
      <c r="E2850" t="s">
        <v>1678</v>
      </c>
      <c r="F2850" t="s">
        <v>4113</v>
      </c>
      <c r="G2850" t="str">
        <f>"201511030902"</f>
        <v>201511030902</v>
      </c>
      <c r="H2850" t="s">
        <v>358</v>
      </c>
      <c r="I2850">
        <v>150</v>
      </c>
      <c r="J2850">
        <v>30</v>
      </c>
      <c r="K2850">
        <v>0</v>
      </c>
      <c r="L2850">
        <v>0</v>
      </c>
      <c r="M2850">
        <v>0</v>
      </c>
      <c r="N2850">
        <v>0</v>
      </c>
      <c r="O2850">
        <v>0</v>
      </c>
      <c r="P2850">
        <v>0</v>
      </c>
      <c r="Q2850">
        <v>0</v>
      </c>
      <c r="R2850">
        <v>0</v>
      </c>
      <c r="S2850">
        <v>0</v>
      </c>
      <c r="T2850">
        <v>0</v>
      </c>
      <c r="V2850">
        <v>0</v>
      </c>
      <c r="W2850" t="s">
        <v>4114</v>
      </c>
    </row>
    <row r="2851" spans="1:23" x14ac:dyDescent="0.25">
      <c r="H2851">
        <v>703</v>
      </c>
    </row>
    <row r="2852" spans="1:23" x14ac:dyDescent="0.25">
      <c r="A2852">
        <v>1423</v>
      </c>
      <c r="B2852">
        <v>2906</v>
      </c>
      <c r="C2852" t="s">
        <v>4115</v>
      </c>
      <c r="D2852" t="s">
        <v>248</v>
      </c>
      <c r="E2852" t="s">
        <v>4116</v>
      </c>
      <c r="F2852" t="s">
        <v>4117</v>
      </c>
      <c r="G2852" t="str">
        <f>"00228938"</f>
        <v>00228938</v>
      </c>
      <c r="H2852">
        <v>1045</v>
      </c>
      <c r="I2852">
        <v>0</v>
      </c>
      <c r="J2852">
        <v>70</v>
      </c>
      <c r="K2852">
        <v>30</v>
      </c>
      <c r="L2852">
        <v>30</v>
      </c>
      <c r="M2852">
        <v>0</v>
      </c>
      <c r="N2852">
        <v>0</v>
      </c>
      <c r="O2852">
        <v>0</v>
      </c>
      <c r="P2852">
        <v>0</v>
      </c>
      <c r="Q2852">
        <v>0</v>
      </c>
      <c r="R2852">
        <v>0</v>
      </c>
      <c r="S2852">
        <v>0</v>
      </c>
      <c r="T2852">
        <v>0</v>
      </c>
      <c r="V2852">
        <v>0</v>
      </c>
      <c r="W2852">
        <v>1175</v>
      </c>
    </row>
    <row r="2853" spans="1:23" x14ac:dyDescent="0.25">
      <c r="H2853" t="s">
        <v>26</v>
      </c>
    </row>
    <row r="2854" spans="1:23" x14ac:dyDescent="0.25">
      <c r="A2854">
        <v>1424</v>
      </c>
      <c r="B2854">
        <v>781</v>
      </c>
      <c r="C2854" t="s">
        <v>4118</v>
      </c>
      <c r="D2854" t="s">
        <v>4119</v>
      </c>
      <c r="E2854" t="s">
        <v>53</v>
      </c>
      <c r="F2854" t="s">
        <v>4120</v>
      </c>
      <c r="G2854" t="str">
        <f>"00088751"</f>
        <v>00088751</v>
      </c>
      <c r="H2854">
        <v>957</v>
      </c>
      <c r="I2854">
        <v>0</v>
      </c>
      <c r="J2854">
        <v>50</v>
      </c>
      <c r="K2854">
        <v>0</v>
      </c>
      <c r="L2854">
        <v>0</v>
      </c>
      <c r="M2854">
        <v>0</v>
      </c>
      <c r="N2854">
        <v>0</v>
      </c>
      <c r="O2854">
        <v>0</v>
      </c>
      <c r="P2854">
        <v>0</v>
      </c>
      <c r="Q2854">
        <v>0</v>
      </c>
      <c r="R2854">
        <v>24</v>
      </c>
      <c r="S2854">
        <v>168</v>
      </c>
      <c r="T2854">
        <v>0</v>
      </c>
      <c r="V2854">
        <v>0</v>
      </c>
      <c r="W2854">
        <v>1175</v>
      </c>
    </row>
    <row r="2855" spans="1:23" x14ac:dyDescent="0.25">
      <c r="H2855">
        <v>703</v>
      </c>
    </row>
    <row r="2856" spans="1:23" x14ac:dyDescent="0.25">
      <c r="A2856">
        <v>1425</v>
      </c>
      <c r="B2856">
        <v>3208</v>
      </c>
      <c r="C2856" t="s">
        <v>2564</v>
      </c>
      <c r="D2856" t="s">
        <v>53</v>
      </c>
      <c r="E2856" t="s">
        <v>15</v>
      </c>
      <c r="F2856" t="s">
        <v>4121</v>
      </c>
      <c r="G2856" t="str">
        <f>"201511011492"</f>
        <v>201511011492</v>
      </c>
      <c r="H2856">
        <v>1034</v>
      </c>
      <c r="I2856">
        <v>0</v>
      </c>
      <c r="J2856">
        <v>0</v>
      </c>
      <c r="K2856">
        <v>0</v>
      </c>
      <c r="L2856">
        <v>0</v>
      </c>
      <c r="M2856">
        <v>0</v>
      </c>
      <c r="N2856">
        <v>0</v>
      </c>
      <c r="O2856">
        <v>0</v>
      </c>
      <c r="P2856">
        <v>0</v>
      </c>
      <c r="Q2856">
        <v>0</v>
      </c>
      <c r="R2856">
        <v>20</v>
      </c>
      <c r="S2856">
        <v>140</v>
      </c>
      <c r="T2856">
        <v>0</v>
      </c>
      <c r="V2856">
        <v>0</v>
      </c>
      <c r="W2856">
        <v>1174</v>
      </c>
    </row>
    <row r="2857" spans="1:23" x14ac:dyDescent="0.25">
      <c r="H2857">
        <v>703</v>
      </c>
    </row>
    <row r="2858" spans="1:23" x14ac:dyDescent="0.25">
      <c r="A2858">
        <v>1426</v>
      </c>
      <c r="B2858">
        <v>1888</v>
      </c>
      <c r="C2858" t="s">
        <v>4122</v>
      </c>
      <c r="D2858" t="s">
        <v>112</v>
      </c>
      <c r="E2858" t="s">
        <v>15</v>
      </c>
      <c r="F2858" t="s">
        <v>4123</v>
      </c>
      <c r="G2858" t="str">
        <f>"00226272"</f>
        <v>00226272</v>
      </c>
      <c r="H2858">
        <v>1034</v>
      </c>
      <c r="I2858">
        <v>0</v>
      </c>
      <c r="J2858">
        <v>70</v>
      </c>
      <c r="K2858">
        <v>70</v>
      </c>
      <c r="L2858">
        <v>0</v>
      </c>
      <c r="M2858">
        <v>0</v>
      </c>
      <c r="N2858">
        <v>0</v>
      </c>
      <c r="O2858">
        <v>0</v>
      </c>
      <c r="P2858">
        <v>0</v>
      </c>
      <c r="Q2858">
        <v>0</v>
      </c>
      <c r="R2858">
        <v>0</v>
      </c>
      <c r="S2858">
        <v>0</v>
      </c>
      <c r="T2858">
        <v>0</v>
      </c>
      <c r="V2858">
        <v>0</v>
      </c>
      <c r="W2858">
        <v>1174</v>
      </c>
    </row>
    <row r="2859" spans="1:23" x14ac:dyDescent="0.25">
      <c r="H2859" t="s">
        <v>70</v>
      </c>
    </row>
    <row r="2860" spans="1:23" x14ac:dyDescent="0.25">
      <c r="A2860">
        <v>1427</v>
      </c>
      <c r="B2860">
        <v>2953</v>
      </c>
      <c r="C2860" t="s">
        <v>4124</v>
      </c>
      <c r="D2860" t="s">
        <v>273</v>
      </c>
      <c r="E2860" t="s">
        <v>2469</v>
      </c>
      <c r="F2860" t="s">
        <v>4125</v>
      </c>
      <c r="G2860" t="str">
        <f>"201511040259"</f>
        <v>201511040259</v>
      </c>
      <c r="H2860" t="s">
        <v>131</v>
      </c>
      <c r="I2860">
        <v>0</v>
      </c>
      <c r="J2860">
        <v>70</v>
      </c>
      <c r="K2860">
        <v>0</v>
      </c>
      <c r="L2860">
        <v>50</v>
      </c>
      <c r="M2860">
        <v>0</v>
      </c>
      <c r="N2860">
        <v>0</v>
      </c>
      <c r="O2860">
        <v>0</v>
      </c>
      <c r="P2860">
        <v>0</v>
      </c>
      <c r="Q2860">
        <v>0</v>
      </c>
      <c r="R2860">
        <v>0</v>
      </c>
      <c r="S2860">
        <v>0</v>
      </c>
      <c r="T2860">
        <v>0</v>
      </c>
      <c r="V2860">
        <v>0</v>
      </c>
      <c r="W2860" t="s">
        <v>4126</v>
      </c>
    </row>
    <row r="2861" spans="1:23" x14ac:dyDescent="0.25">
      <c r="H2861" t="s">
        <v>26</v>
      </c>
    </row>
    <row r="2862" spans="1:23" x14ac:dyDescent="0.25">
      <c r="A2862">
        <v>1428</v>
      </c>
      <c r="B2862">
        <v>543</v>
      </c>
      <c r="C2862" t="s">
        <v>4127</v>
      </c>
      <c r="D2862" t="s">
        <v>140</v>
      </c>
      <c r="E2862" t="s">
        <v>41</v>
      </c>
      <c r="F2862" t="s">
        <v>4128</v>
      </c>
      <c r="G2862" t="str">
        <f>"201406005968"</f>
        <v>201406005968</v>
      </c>
      <c r="H2862">
        <v>1089</v>
      </c>
      <c r="I2862">
        <v>0</v>
      </c>
      <c r="J2862">
        <v>70</v>
      </c>
      <c r="K2862">
        <v>0</v>
      </c>
      <c r="L2862">
        <v>0</v>
      </c>
      <c r="M2862">
        <v>0</v>
      </c>
      <c r="N2862">
        <v>0</v>
      </c>
      <c r="O2862">
        <v>0</v>
      </c>
      <c r="P2862">
        <v>0</v>
      </c>
      <c r="Q2862">
        <v>0</v>
      </c>
      <c r="R2862">
        <v>2</v>
      </c>
      <c r="S2862">
        <v>14</v>
      </c>
      <c r="T2862">
        <v>0</v>
      </c>
      <c r="V2862">
        <v>0</v>
      </c>
      <c r="W2862">
        <v>1173</v>
      </c>
    </row>
    <row r="2863" spans="1:23" x14ac:dyDescent="0.25">
      <c r="H2863">
        <v>703</v>
      </c>
    </row>
    <row r="2864" spans="1:23" x14ac:dyDescent="0.25">
      <c r="A2864">
        <v>1429</v>
      </c>
      <c r="B2864">
        <v>426</v>
      </c>
      <c r="C2864" t="s">
        <v>4129</v>
      </c>
      <c r="D2864" t="s">
        <v>273</v>
      </c>
      <c r="E2864" t="s">
        <v>592</v>
      </c>
      <c r="F2864" t="s">
        <v>4130</v>
      </c>
      <c r="G2864" t="str">
        <f>"00223985"</f>
        <v>00223985</v>
      </c>
      <c r="H2864">
        <v>1045</v>
      </c>
      <c r="I2864">
        <v>0</v>
      </c>
      <c r="J2864">
        <v>30</v>
      </c>
      <c r="K2864">
        <v>0</v>
      </c>
      <c r="L2864">
        <v>0</v>
      </c>
      <c r="M2864">
        <v>0</v>
      </c>
      <c r="N2864">
        <v>0</v>
      </c>
      <c r="O2864">
        <v>0</v>
      </c>
      <c r="P2864">
        <v>0</v>
      </c>
      <c r="Q2864">
        <v>0</v>
      </c>
      <c r="R2864">
        <v>14</v>
      </c>
      <c r="S2864">
        <v>98</v>
      </c>
      <c r="T2864">
        <v>0</v>
      </c>
      <c r="V2864">
        <v>1</v>
      </c>
      <c r="W2864">
        <v>1173</v>
      </c>
    </row>
    <row r="2865" spans="1:23" x14ac:dyDescent="0.25">
      <c r="H2865">
        <v>703</v>
      </c>
    </row>
    <row r="2866" spans="1:23" x14ac:dyDescent="0.25">
      <c r="A2866">
        <v>1430</v>
      </c>
      <c r="B2866">
        <v>2794</v>
      </c>
      <c r="C2866" t="s">
        <v>4131</v>
      </c>
      <c r="D2866" t="s">
        <v>444</v>
      </c>
      <c r="E2866" t="s">
        <v>2050</v>
      </c>
      <c r="F2866" t="s">
        <v>4132</v>
      </c>
      <c r="G2866" t="str">
        <f>"201506002747"</f>
        <v>201506002747</v>
      </c>
      <c r="H2866">
        <v>1023</v>
      </c>
      <c r="I2866">
        <v>0</v>
      </c>
      <c r="J2866">
        <v>70</v>
      </c>
      <c r="K2866">
        <v>0</v>
      </c>
      <c r="L2866">
        <v>30</v>
      </c>
      <c r="M2866">
        <v>0</v>
      </c>
      <c r="N2866">
        <v>0</v>
      </c>
      <c r="O2866">
        <v>0</v>
      </c>
      <c r="P2866">
        <v>0</v>
      </c>
      <c r="Q2866">
        <v>0</v>
      </c>
      <c r="R2866">
        <v>7</v>
      </c>
      <c r="S2866">
        <v>49</v>
      </c>
      <c r="T2866">
        <v>0</v>
      </c>
      <c r="V2866">
        <v>0</v>
      </c>
      <c r="W2866">
        <v>1172</v>
      </c>
    </row>
    <row r="2867" spans="1:23" x14ac:dyDescent="0.25">
      <c r="H2867" t="s">
        <v>70</v>
      </c>
    </row>
    <row r="2868" spans="1:23" x14ac:dyDescent="0.25">
      <c r="A2868">
        <v>1431</v>
      </c>
      <c r="B2868">
        <v>2563</v>
      </c>
      <c r="C2868" t="s">
        <v>4133</v>
      </c>
      <c r="D2868" t="s">
        <v>4134</v>
      </c>
      <c r="E2868" t="s">
        <v>91</v>
      </c>
      <c r="F2868" t="s">
        <v>4135</v>
      </c>
      <c r="G2868" t="str">
        <f>"00049211"</f>
        <v>00049211</v>
      </c>
      <c r="H2868" t="s">
        <v>1212</v>
      </c>
      <c r="I2868">
        <v>0</v>
      </c>
      <c r="J2868">
        <v>50</v>
      </c>
      <c r="K2868">
        <v>0</v>
      </c>
      <c r="L2868">
        <v>0</v>
      </c>
      <c r="M2868">
        <v>0</v>
      </c>
      <c r="N2868">
        <v>0</v>
      </c>
      <c r="O2868">
        <v>0</v>
      </c>
      <c r="P2868">
        <v>0</v>
      </c>
      <c r="Q2868">
        <v>0</v>
      </c>
      <c r="R2868">
        <v>43</v>
      </c>
      <c r="S2868">
        <v>301</v>
      </c>
      <c r="T2868">
        <v>0</v>
      </c>
      <c r="V2868">
        <v>0</v>
      </c>
      <c r="W2868" t="s">
        <v>4136</v>
      </c>
    </row>
    <row r="2869" spans="1:23" x14ac:dyDescent="0.25">
      <c r="H2869">
        <v>703</v>
      </c>
    </row>
    <row r="2870" spans="1:23" x14ac:dyDescent="0.25">
      <c r="A2870">
        <v>1432</v>
      </c>
      <c r="B2870">
        <v>1997</v>
      </c>
      <c r="C2870" t="s">
        <v>4137</v>
      </c>
      <c r="D2870" t="s">
        <v>629</v>
      </c>
      <c r="E2870" t="s">
        <v>24</v>
      </c>
      <c r="F2870" t="s">
        <v>4138</v>
      </c>
      <c r="G2870" t="str">
        <f>"201406005994"</f>
        <v>201406005994</v>
      </c>
      <c r="H2870">
        <v>1100</v>
      </c>
      <c r="I2870">
        <v>0</v>
      </c>
      <c r="J2870">
        <v>70</v>
      </c>
      <c r="K2870">
        <v>0</v>
      </c>
      <c r="L2870">
        <v>0</v>
      </c>
      <c r="M2870">
        <v>0</v>
      </c>
      <c r="N2870">
        <v>0</v>
      </c>
      <c r="O2870">
        <v>0</v>
      </c>
      <c r="P2870">
        <v>0</v>
      </c>
      <c r="Q2870">
        <v>0</v>
      </c>
      <c r="R2870">
        <v>0</v>
      </c>
      <c r="S2870">
        <v>0</v>
      </c>
      <c r="T2870">
        <v>0</v>
      </c>
      <c r="V2870">
        <v>1</v>
      </c>
      <c r="W2870">
        <v>1170</v>
      </c>
    </row>
    <row r="2871" spans="1:23" x14ac:dyDescent="0.25">
      <c r="H2871">
        <v>703</v>
      </c>
    </row>
    <row r="2872" spans="1:23" x14ac:dyDescent="0.25">
      <c r="A2872">
        <v>1433</v>
      </c>
      <c r="B2872">
        <v>3164</v>
      </c>
      <c r="C2872" t="s">
        <v>4139</v>
      </c>
      <c r="D2872" t="s">
        <v>32</v>
      </c>
      <c r="E2872" t="s">
        <v>58</v>
      </c>
      <c r="F2872" t="s">
        <v>4140</v>
      </c>
      <c r="G2872" t="str">
        <f>"00149189"</f>
        <v>00149189</v>
      </c>
      <c r="H2872">
        <v>990</v>
      </c>
      <c r="I2872">
        <v>150</v>
      </c>
      <c r="J2872">
        <v>30</v>
      </c>
      <c r="K2872">
        <v>0</v>
      </c>
      <c r="L2872">
        <v>0</v>
      </c>
      <c r="M2872">
        <v>0</v>
      </c>
      <c r="N2872">
        <v>0</v>
      </c>
      <c r="O2872">
        <v>0</v>
      </c>
      <c r="P2872">
        <v>0</v>
      </c>
      <c r="Q2872">
        <v>0</v>
      </c>
      <c r="R2872">
        <v>0</v>
      </c>
      <c r="S2872">
        <v>0</v>
      </c>
      <c r="T2872">
        <v>0</v>
      </c>
      <c r="V2872">
        <v>0</v>
      </c>
      <c r="W2872">
        <v>1170</v>
      </c>
    </row>
    <row r="2873" spans="1:23" x14ac:dyDescent="0.25">
      <c r="H2873" t="s">
        <v>70</v>
      </c>
    </row>
    <row r="2874" spans="1:23" x14ac:dyDescent="0.25">
      <c r="A2874">
        <v>1434</v>
      </c>
      <c r="B2874">
        <v>509</v>
      </c>
      <c r="C2874" t="s">
        <v>4141</v>
      </c>
      <c r="D2874" t="s">
        <v>273</v>
      </c>
      <c r="E2874" t="s">
        <v>4142</v>
      </c>
      <c r="F2874" t="s">
        <v>4143</v>
      </c>
      <c r="G2874" t="str">
        <f>"00225211"</f>
        <v>00225211</v>
      </c>
      <c r="H2874">
        <v>990</v>
      </c>
      <c r="I2874">
        <v>150</v>
      </c>
      <c r="J2874">
        <v>30</v>
      </c>
      <c r="K2874">
        <v>0</v>
      </c>
      <c r="L2874">
        <v>0</v>
      </c>
      <c r="M2874">
        <v>0</v>
      </c>
      <c r="N2874">
        <v>0</v>
      </c>
      <c r="O2874">
        <v>0</v>
      </c>
      <c r="P2874">
        <v>0</v>
      </c>
      <c r="Q2874">
        <v>0</v>
      </c>
      <c r="R2874">
        <v>0</v>
      </c>
      <c r="S2874">
        <v>0</v>
      </c>
      <c r="T2874">
        <v>0</v>
      </c>
      <c r="V2874">
        <v>0</v>
      </c>
      <c r="W2874">
        <v>1170</v>
      </c>
    </row>
    <row r="2875" spans="1:23" x14ac:dyDescent="0.25">
      <c r="H2875">
        <v>703</v>
      </c>
    </row>
    <row r="2876" spans="1:23" x14ac:dyDescent="0.25">
      <c r="A2876">
        <v>1435</v>
      </c>
      <c r="B2876">
        <v>2127</v>
      </c>
      <c r="C2876" t="s">
        <v>4144</v>
      </c>
      <c r="D2876" t="s">
        <v>4055</v>
      </c>
      <c r="E2876" t="s">
        <v>607</v>
      </c>
      <c r="F2876" t="s">
        <v>4145</v>
      </c>
      <c r="G2876" t="str">
        <f>"00227896"</f>
        <v>00227896</v>
      </c>
      <c r="H2876">
        <v>990</v>
      </c>
      <c r="I2876">
        <v>150</v>
      </c>
      <c r="J2876">
        <v>30</v>
      </c>
      <c r="K2876">
        <v>0</v>
      </c>
      <c r="L2876">
        <v>0</v>
      </c>
      <c r="M2876">
        <v>0</v>
      </c>
      <c r="N2876">
        <v>0</v>
      </c>
      <c r="O2876">
        <v>0</v>
      </c>
      <c r="P2876">
        <v>0</v>
      </c>
      <c r="Q2876">
        <v>0</v>
      </c>
      <c r="R2876">
        <v>0</v>
      </c>
      <c r="S2876">
        <v>0</v>
      </c>
      <c r="T2876">
        <v>0</v>
      </c>
      <c r="V2876">
        <v>0</v>
      </c>
      <c r="W2876">
        <v>1170</v>
      </c>
    </row>
    <row r="2877" spans="1:23" x14ac:dyDescent="0.25">
      <c r="H2877">
        <v>703</v>
      </c>
    </row>
    <row r="2878" spans="1:23" x14ac:dyDescent="0.25">
      <c r="A2878">
        <v>1436</v>
      </c>
      <c r="B2878">
        <v>3171</v>
      </c>
      <c r="C2878" t="s">
        <v>4146</v>
      </c>
      <c r="D2878" t="s">
        <v>53</v>
      </c>
      <c r="E2878" t="s">
        <v>109</v>
      </c>
      <c r="F2878" t="s">
        <v>4147</v>
      </c>
      <c r="G2878" t="str">
        <f>"201402000912"</f>
        <v>201402000912</v>
      </c>
      <c r="H2878">
        <v>704</v>
      </c>
      <c r="I2878">
        <v>150</v>
      </c>
      <c r="J2878">
        <v>50</v>
      </c>
      <c r="K2878">
        <v>0</v>
      </c>
      <c r="L2878">
        <v>0</v>
      </c>
      <c r="M2878">
        <v>0</v>
      </c>
      <c r="N2878">
        <v>0</v>
      </c>
      <c r="O2878">
        <v>0</v>
      </c>
      <c r="P2878">
        <v>0</v>
      </c>
      <c r="Q2878">
        <v>0</v>
      </c>
      <c r="R2878">
        <v>38</v>
      </c>
      <c r="S2878">
        <v>266</v>
      </c>
      <c r="T2878">
        <v>0</v>
      </c>
      <c r="V2878">
        <v>0</v>
      </c>
      <c r="W2878">
        <v>1170</v>
      </c>
    </row>
    <row r="2879" spans="1:23" x14ac:dyDescent="0.25">
      <c r="H2879" t="s">
        <v>26</v>
      </c>
    </row>
    <row r="2880" spans="1:23" x14ac:dyDescent="0.25">
      <c r="A2880">
        <v>1437</v>
      </c>
      <c r="B2880">
        <v>1572</v>
      </c>
      <c r="C2880" t="s">
        <v>1137</v>
      </c>
      <c r="D2880" t="s">
        <v>76</v>
      </c>
      <c r="E2880" t="s">
        <v>523</v>
      </c>
      <c r="F2880" t="s">
        <v>4148</v>
      </c>
      <c r="G2880" t="str">
        <f>"201402007542"</f>
        <v>201402007542</v>
      </c>
      <c r="H2880" t="s">
        <v>305</v>
      </c>
      <c r="I2880">
        <v>0</v>
      </c>
      <c r="J2880">
        <v>70</v>
      </c>
      <c r="K2880">
        <v>0</v>
      </c>
      <c r="L2880">
        <v>0</v>
      </c>
      <c r="M2880">
        <v>0</v>
      </c>
      <c r="N2880">
        <v>0</v>
      </c>
      <c r="O2880">
        <v>0</v>
      </c>
      <c r="P2880">
        <v>0</v>
      </c>
      <c r="Q2880">
        <v>0</v>
      </c>
      <c r="R2880">
        <v>5</v>
      </c>
      <c r="S2880">
        <v>35</v>
      </c>
      <c r="T2880">
        <v>0</v>
      </c>
      <c r="V2880">
        <v>0</v>
      </c>
      <c r="W2880" t="s">
        <v>4149</v>
      </c>
    </row>
    <row r="2881" spans="1:23" x14ac:dyDescent="0.25">
      <c r="H2881">
        <v>703</v>
      </c>
    </row>
    <row r="2882" spans="1:23" x14ac:dyDescent="0.25">
      <c r="A2882">
        <v>1438</v>
      </c>
      <c r="B2882">
        <v>2512</v>
      </c>
      <c r="C2882" t="s">
        <v>4150</v>
      </c>
      <c r="D2882" t="s">
        <v>4151</v>
      </c>
      <c r="E2882" t="s">
        <v>105</v>
      </c>
      <c r="F2882" t="s">
        <v>4152</v>
      </c>
      <c r="G2882" t="str">
        <f>"201406011451"</f>
        <v>201406011451</v>
      </c>
      <c r="H2882" t="s">
        <v>187</v>
      </c>
      <c r="I2882">
        <v>0</v>
      </c>
      <c r="J2882">
        <v>70</v>
      </c>
      <c r="K2882">
        <v>0</v>
      </c>
      <c r="L2882">
        <v>0</v>
      </c>
      <c r="M2882">
        <v>70</v>
      </c>
      <c r="N2882">
        <v>0</v>
      </c>
      <c r="O2882">
        <v>0</v>
      </c>
      <c r="P2882">
        <v>0</v>
      </c>
      <c r="Q2882">
        <v>0</v>
      </c>
      <c r="R2882">
        <v>0</v>
      </c>
      <c r="S2882">
        <v>0</v>
      </c>
      <c r="T2882">
        <v>0</v>
      </c>
      <c r="V2882">
        <v>0</v>
      </c>
      <c r="W2882" t="s">
        <v>4153</v>
      </c>
    </row>
    <row r="2883" spans="1:23" x14ac:dyDescent="0.25">
      <c r="H2883" t="s">
        <v>26</v>
      </c>
    </row>
    <row r="2884" spans="1:23" x14ac:dyDescent="0.25">
      <c r="A2884">
        <v>1439</v>
      </c>
      <c r="B2884">
        <v>1528</v>
      </c>
      <c r="C2884" t="s">
        <v>4154</v>
      </c>
      <c r="D2884" t="s">
        <v>112</v>
      </c>
      <c r="E2884" t="s">
        <v>423</v>
      </c>
      <c r="F2884" t="s">
        <v>4155</v>
      </c>
      <c r="G2884" t="str">
        <f>"00230248"</f>
        <v>00230248</v>
      </c>
      <c r="H2884" t="s">
        <v>1241</v>
      </c>
      <c r="I2884">
        <v>0</v>
      </c>
      <c r="J2884">
        <v>30</v>
      </c>
      <c r="K2884">
        <v>0</v>
      </c>
      <c r="L2884">
        <v>0</v>
      </c>
      <c r="M2884">
        <v>30</v>
      </c>
      <c r="N2884">
        <v>0</v>
      </c>
      <c r="O2884">
        <v>0</v>
      </c>
      <c r="P2884">
        <v>0</v>
      </c>
      <c r="Q2884">
        <v>0</v>
      </c>
      <c r="R2884">
        <v>32</v>
      </c>
      <c r="S2884">
        <v>224</v>
      </c>
      <c r="T2884">
        <v>0</v>
      </c>
      <c r="V2884">
        <v>2</v>
      </c>
      <c r="W2884" t="s">
        <v>4156</v>
      </c>
    </row>
    <row r="2885" spans="1:23" x14ac:dyDescent="0.25">
      <c r="H2885" t="s">
        <v>70</v>
      </c>
    </row>
    <row r="2886" spans="1:23" x14ac:dyDescent="0.25">
      <c r="A2886">
        <v>1440</v>
      </c>
      <c r="B2886">
        <v>2744</v>
      </c>
      <c r="C2886" t="s">
        <v>4157</v>
      </c>
      <c r="D2886" t="s">
        <v>67</v>
      </c>
      <c r="E2886" t="s">
        <v>21</v>
      </c>
      <c r="F2886" t="s">
        <v>4158</v>
      </c>
      <c r="G2886" t="str">
        <f>"00145572"</f>
        <v>00145572</v>
      </c>
      <c r="H2886" t="s">
        <v>2186</v>
      </c>
      <c r="I2886">
        <v>150</v>
      </c>
      <c r="J2886">
        <v>0</v>
      </c>
      <c r="K2886">
        <v>0</v>
      </c>
      <c r="L2886">
        <v>0</v>
      </c>
      <c r="M2886">
        <v>0</v>
      </c>
      <c r="N2886">
        <v>0</v>
      </c>
      <c r="O2886">
        <v>0</v>
      </c>
      <c r="P2886">
        <v>0</v>
      </c>
      <c r="Q2886">
        <v>0</v>
      </c>
      <c r="R2886">
        <v>22</v>
      </c>
      <c r="S2886">
        <v>154</v>
      </c>
      <c r="T2886">
        <v>0</v>
      </c>
      <c r="V2886">
        <v>0</v>
      </c>
      <c r="W2886" t="s">
        <v>4159</v>
      </c>
    </row>
    <row r="2887" spans="1:23" x14ac:dyDescent="0.25">
      <c r="H2887">
        <v>703</v>
      </c>
    </row>
    <row r="2888" spans="1:23" x14ac:dyDescent="0.25">
      <c r="A2888">
        <v>1441</v>
      </c>
      <c r="B2888">
        <v>1666</v>
      </c>
      <c r="C2888" t="s">
        <v>4160</v>
      </c>
      <c r="D2888" t="s">
        <v>912</v>
      </c>
      <c r="E2888" t="s">
        <v>41</v>
      </c>
      <c r="F2888" t="s">
        <v>4161</v>
      </c>
      <c r="G2888" t="str">
        <f>"00141710"</f>
        <v>00141710</v>
      </c>
      <c r="H2888">
        <v>836</v>
      </c>
      <c r="I2888">
        <v>0</v>
      </c>
      <c r="J2888">
        <v>30</v>
      </c>
      <c r="K2888">
        <v>0</v>
      </c>
      <c r="L2888">
        <v>0</v>
      </c>
      <c r="M2888">
        <v>0</v>
      </c>
      <c r="N2888">
        <v>0</v>
      </c>
      <c r="O2888">
        <v>0</v>
      </c>
      <c r="P2888">
        <v>0</v>
      </c>
      <c r="Q2888">
        <v>0</v>
      </c>
      <c r="R2888">
        <v>43</v>
      </c>
      <c r="S2888">
        <v>301</v>
      </c>
      <c r="T2888">
        <v>0</v>
      </c>
      <c r="V2888">
        <v>0</v>
      </c>
      <c r="W2888">
        <v>1167</v>
      </c>
    </row>
    <row r="2889" spans="1:23" x14ac:dyDescent="0.25">
      <c r="H2889" t="s">
        <v>26</v>
      </c>
    </row>
    <row r="2890" spans="1:23" x14ac:dyDescent="0.25">
      <c r="A2890">
        <v>1442</v>
      </c>
      <c r="B2890">
        <v>1946</v>
      </c>
      <c r="C2890" t="s">
        <v>4162</v>
      </c>
      <c r="D2890" t="s">
        <v>273</v>
      </c>
      <c r="E2890" t="s">
        <v>53</v>
      </c>
      <c r="F2890" t="s">
        <v>4163</v>
      </c>
      <c r="G2890" t="str">
        <f>"00129977"</f>
        <v>00129977</v>
      </c>
      <c r="H2890" t="s">
        <v>2274</v>
      </c>
      <c r="I2890">
        <v>0</v>
      </c>
      <c r="J2890">
        <v>0</v>
      </c>
      <c r="K2890">
        <v>0</v>
      </c>
      <c r="L2890">
        <v>0</v>
      </c>
      <c r="M2890">
        <v>0</v>
      </c>
      <c r="N2890">
        <v>0</v>
      </c>
      <c r="O2890">
        <v>0</v>
      </c>
      <c r="P2890">
        <v>0</v>
      </c>
      <c r="Q2890">
        <v>0</v>
      </c>
      <c r="R2890">
        <v>36</v>
      </c>
      <c r="S2890">
        <v>252</v>
      </c>
      <c r="T2890">
        <v>0</v>
      </c>
      <c r="V2890">
        <v>0</v>
      </c>
      <c r="W2890" t="s">
        <v>4164</v>
      </c>
    </row>
    <row r="2891" spans="1:23" x14ac:dyDescent="0.25">
      <c r="H2891">
        <v>703</v>
      </c>
    </row>
    <row r="2892" spans="1:23" x14ac:dyDescent="0.25">
      <c r="A2892">
        <v>1443</v>
      </c>
      <c r="B2892">
        <v>1373</v>
      </c>
      <c r="C2892" t="s">
        <v>4165</v>
      </c>
      <c r="D2892" t="s">
        <v>46</v>
      </c>
      <c r="E2892" t="s">
        <v>113</v>
      </c>
      <c r="F2892" t="s">
        <v>4166</v>
      </c>
      <c r="G2892" t="str">
        <f>"00230229"</f>
        <v>00230229</v>
      </c>
      <c r="H2892">
        <v>935</v>
      </c>
      <c r="I2892">
        <v>0</v>
      </c>
      <c r="J2892">
        <v>0</v>
      </c>
      <c r="K2892">
        <v>0</v>
      </c>
      <c r="L2892">
        <v>0</v>
      </c>
      <c r="M2892">
        <v>0</v>
      </c>
      <c r="N2892">
        <v>0</v>
      </c>
      <c r="O2892">
        <v>0</v>
      </c>
      <c r="P2892">
        <v>0</v>
      </c>
      <c r="Q2892">
        <v>0</v>
      </c>
      <c r="R2892">
        <v>33</v>
      </c>
      <c r="S2892">
        <v>231</v>
      </c>
      <c r="T2892">
        <v>0</v>
      </c>
      <c r="V2892">
        <v>0</v>
      </c>
      <c r="W2892">
        <v>1166</v>
      </c>
    </row>
    <row r="2893" spans="1:23" x14ac:dyDescent="0.25">
      <c r="H2893">
        <v>703</v>
      </c>
    </row>
    <row r="2894" spans="1:23" x14ac:dyDescent="0.25">
      <c r="A2894">
        <v>1444</v>
      </c>
      <c r="B2894">
        <v>2521</v>
      </c>
      <c r="C2894" t="s">
        <v>4167</v>
      </c>
      <c r="D2894" t="s">
        <v>76</v>
      </c>
      <c r="E2894" t="s">
        <v>113</v>
      </c>
      <c r="F2894" t="s">
        <v>4168</v>
      </c>
      <c r="G2894" t="str">
        <f>"201506001974"</f>
        <v>201506001974</v>
      </c>
      <c r="H2894">
        <v>880</v>
      </c>
      <c r="I2894">
        <v>150</v>
      </c>
      <c r="J2894">
        <v>50</v>
      </c>
      <c r="K2894">
        <v>30</v>
      </c>
      <c r="L2894">
        <v>0</v>
      </c>
      <c r="M2894">
        <v>0</v>
      </c>
      <c r="N2894">
        <v>0</v>
      </c>
      <c r="O2894">
        <v>0</v>
      </c>
      <c r="P2894">
        <v>0</v>
      </c>
      <c r="Q2894">
        <v>0</v>
      </c>
      <c r="R2894">
        <v>8</v>
      </c>
      <c r="S2894">
        <v>56</v>
      </c>
      <c r="T2894">
        <v>0</v>
      </c>
      <c r="V2894">
        <v>1</v>
      </c>
      <c r="W2894">
        <v>1166</v>
      </c>
    </row>
    <row r="2895" spans="1:23" x14ac:dyDescent="0.25">
      <c r="H2895" t="s">
        <v>26</v>
      </c>
    </row>
    <row r="2896" spans="1:23" x14ac:dyDescent="0.25">
      <c r="A2896">
        <v>1445</v>
      </c>
      <c r="B2896">
        <v>1531</v>
      </c>
      <c r="C2896" t="s">
        <v>222</v>
      </c>
      <c r="D2896" t="s">
        <v>722</v>
      </c>
      <c r="E2896" t="s">
        <v>21</v>
      </c>
      <c r="F2896" t="s">
        <v>4169</v>
      </c>
      <c r="G2896" t="str">
        <f>"201406011587"</f>
        <v>201406011587</v>
      </c>
      <c r="H2896">
        <v>1045</v>
      </c>
      <c r="I2896">
        <v>0</v>
      </c>
      <c r="J2896">
        <v>70</v>
      </c>
      <c r="K2896">
        <v>0</v>
      </c>
      <c r="L2896">
        <v>50</v>
      </c>
      <c r="M2896">
        <v>0</v>
      </c>
      <c r="N2896">
        <v>0</v>
      </c>
      <c r="O2896">
        <v>0</v>
      </c>
      <c r="P2896">
        <v>0</v>
      </c>
      <c r="Q2896">
        <v>0</v>
      </c>
      <c r="R2896">
        <v>0</v>
      </c>
      <c r="S2896">
        <v>0</v>
      </c>
      <c r="T2896">
        <v>0</v>
      </c>
      <c r="V2896">
        <v>0</v>
      </c>
      <c r="W2896">
        <v>1165</v>
      </c>
    </row>
    <row r="2897" spans="1:23" x14ac:dyDescent="0.25">
      <c r="H2897" t="s">
        <v>70</v>
      </c>
    </row>
    <row r="2898" spans="1:23" x14ac:dyDescent="0.25">
      <c r="A2898">
        <v>1446</v>
      </c>
      <c r="B2898">
        <v>3061</v>
      </c>
      <c r="C2898" t="s">
        <v>1111</v>
      </c>
      <c r="D2898" t="s">
        <v>99</v>
      </c>
      <c r="E2898" t="s">
        <v>53</v>
      </c>
      <c r="F2898" t="s">
        <v>4170</v>
      </c>
      <c r="G2898" t="str">
        <f>"00142316"</f>
        <v>00142316</v>
      </c>
      <c r="H2898" t="s">
        <v>17</v>
      </c>
      <c r="I2898">
        <v>0</v>
      </c>
      <c r="J2898">
        <v>70</v>
      </c>
      <c r="K2898">
        <v>0</v>
      </c>
      <c r="L2898">
        <v>0</v>
      </c>
      <c r="M2898">
        <v>0</v>
      </c>
      <c r="N2898">
        <v>0</v>
      </c>
      <c r="O2898">
        <v>0</v>
      </c>
      <c r="P2898">
        <v>0</v>
      </c>
      <c r="Q2898">
        <v>0</v>
      </c>
      <c r="R2898">
        <v>0</v>
      </c>
      <c r="S2898">
        <v>0</v>
      </c>
      <c r="T2898">
        <v>0</v>
      </c>
      <c r="V2898">
        <v>0</v>
      </c>
      <c r="W2898" t="s">
        <v>4171</v>
      </c>
    </row>
    <row r="2899" spans="1:23" x14ac:dyDescent="0.25">
      <c r="H2899">
        <v>703</v>
      </c>
    </row>
    <row r="2900" spans="1:23" x14ac:dyDescent="0.25">
      <c r="A2900">
        <v>1447</v>
      </c>
      <c r="B2900">
        <v>2475</v>
      </c>
      <c r="C2900" t="s">
        <v>4172</v>
      </c>
      <c r="D2900" t="s">
        <v>28</v>
      </c>
      <c r="E2900" t="s">
        <v>109</v>
      </c>
      <c r="F2900" t="s">
        <v>4173</v>
      </c>
      <c r="G2900" t="str">
        <f>"00007648"</f>
        <v>00007648</v>
      </c>
      <c r="H2900" t="s">
        <v>73</v>
      </c>
      <c r="I2900">
        <v>0</v>
      </c>
      <c r="J2900">
        <v>70</v>
      </c>
      <c r="K2900">
        <v>30</v>
      </c>
      <c r="L2900">
        <v>0</v>
      </c>
      <c r="M2900">
        <v>0</v>
      </c>
      <c r="N2900">
        <v>0</v>
      </c>
      <c r="O2900">
        <v>0</v>
      </c>
      <c r="P2900">
        <v>0</v>
      </c>
      <c r="Q2900">
        <v>0</v>
      </c>
      <c r="R2900">
        <v>2</v>
      </c>
      <c r="S2900">
        <v>14</v>
      </c>
      <c r="T2900">
        <v>0</v>
      </c>
      <c r="V2900">
        <v>0</v>
      </c>
      <c r="W2900" t="s">
        <v>4171</v>
      </c>
    </row>
    <row r="2901" spans="1:23" x14ac:dyDescent="0.25">
      <c r="H2901" t="s">
        <v>70</v>
      </c>
    </row>
    <row r="2902" spans="1:23" x14ac:dyDescent="0.25">
      <c r="A2902">
        <v>1448</v>
      </c>
      <c r="B2902">
        <v>1753</v>
      </c>
      <c r="C2902" t="s">
        <v>4174</v>
      </c>
      <c r="D2902" t="s">
        <v>2612</v>
      </c>
      <c r="E2902" t="s">
        <v>4175</v>
      </c>
      <c r="F2902" t="s">
        <v>4176</v>
      </c>
      <c r="G2902" t="str">
        <f>"201511041535"</f>
        <v>201511041535</v>
      </c>
      <c r="H2902" t="s">
        <v>202</v>
      </c>
      <c r="I2902">
        <v>150</v>
      </c>
      <c r="J2902">
        <v>30</v>
      </c>
      <c r="K2902">
        <v>0</v>
      </c>
      <c r="L2902">
        <v>0</v>
      </c>
      <c r="M2902">
        <v>0</v>
      </c>
      <c r="N2902">
        <v>0</v>
      </c>
      <c r="O2902">
        <v>0</v>
      </c>
      <c r="P2902">
        <v>0</v>
      </c>
      <c r="Q2902">
        <v>0</v>
      </c>
      <c r="R2902">
        <v>0</v>
      </c>
      <c r="S2902">
        <v>0</v>
      </c>
      <c r="T2902">
        <v>0</v>
      </c>
      <c r="V2902">
        <v>1</v>
      </c>
      <c r="W2902" t="s">
        <v>4171</v>
      </c>
    </row>
    <row r="2903" spans="1:23" x14ac:dyDescent="0.25">
      <c r="H2903">
        <v>703</v>
      </c>
    </row>
    <row r="2904" spans="1:23" x14ac:dyDescent="0.25">
      <c r="A2904">
        <v>1449</v>
      </c>
      <c r="B2904">
        <v>2850</v>
      </c>
      <c r="C2904" t="s">
        <v>4177</v>
      </c>
      <c r="D2904" t="s">
        <v>140</v>
      </c>
      <c r="E2904" t="s">
        <v>53</v>
      </c>
      <c r="F2904" t="s">
        <v>4178</v>
      </c>
      <c r="G2904" t="str">
        <f>"00092347"</f>
        <v>00092347</v>
      </c>
      <c r="H2904" t="s">
        <v>2111</v>
      </c>
      <c r="I2904">
        <v>150</v>
      </c>
      <c r="J2904">
        <v>0</v>
      </c>
      <c r="K2904">
        <v>0</v>
      </c>
      <c r="L2904">
        <v>0</v>
      </c>
      <c r="M2904">
        <v>0</v>
      </c>
      <c r="N2904">
        <v>0</v>
      </c>
      <c r="O2904">
        <v>0</v>
      </c>
      <c r="P2904">
        <v>0</v>
      </c>
      <c r="Q2904">
        <v>0</v>
      </c>
      <c r="R2904">
        <v>10</v>
      </c>
      <c r="S2904">
        <v>70</v>
      </c>
      <c r="T2904">
        <v>0</v>
      </c>
      <c r="V2904">
        <v>0</v>
      </c>
      <c r="W2904" t="s">
        <v>4179</v>
      </c>
    </row>
    <row r="2905" spans="1:23" x14ac:dyDescent="0.25">
      <c r="H2905" t="s">
        <v>2316</v>
      </c>
    </row>
    <row r="2906" spans="1:23" x14ac:dyDescent="0.25">
      <c r="A2906">
        <v>1450</v>
      </c>
      <c r="B2906">
        <v>2911</v>
      </c>
      <c r="C2906" t="s">
        <v>4180</v>
      </c>
      <c r="D2906" t="s">
        <v>273</v>
      </c>
      <c r="E2906" t="s">
        <v>752</v>
      </c>
      <c r="F2906" t="s">
        <v>4181</v>
      </c>
      <c r="G2906" t="str">
        <f>"00154306"</f>
        <v>00154306</v>
      </c>
      <c r="H2906">
        <v>1056</v>
      </c>
      <c r="I2906">
        <v>0</v>
      </c>
      <c r="J2906">
        <v>70</v>
      </c>
      <c r="K2906">
        <v>30</v>
      </c>
      <c r="L2906">
        <v>0</v>
      </c>
      <c r="M2906">
        <v>0</v>
      </c>
      <c r="N2906">
        <v>0</v>
      </c>
      <c r="O2906">
        <v>0</v>
      </c>
      <c r="P2906">
        <v>0</v>
      </c>
      <c r="Q2906">
        <v>0</v>
      </c>
      <c r="R2906">
        <v>1</v>
      </c>
      <c r="S2906">
        <v>7</v>
      </c>
      <c r="T2906">
        <v>0</v>
      </c>
      <c r="V2906">
        <v>0</v>
      </c>
      <c r="W2906">
        <v>1163</v>
      </c>
    </row>
    <row r="2907" spans="1:23" x14ac:dyDescent="0.25">
      <c r="H2907" t="s">
        <v>70</v>
      </c>
    </row>
    <row r="2908" spans="1:23" x14ac:dyDescent="0.25">
      <c r="A2908">
        <v>1451</v>
      </c>
      <c r="B2908">
        <v>1537</v>
      </c>
      <c r="C2908" t="s">
        <v>4182</v>
      </c>
      <c r="D2908" t="s">
        <v>134</v>
      </c>
      <c r="E2908" t="s">
        <v>356</v>
      </c>
      <c r="F2908" t="s">
        <v>4183</v>
      </c>
      <c r="G2908" t="str">
        <f>"201511026627"</f>
        <v>201511026627</v>
      </c>
      <c r="H2908">
        <v>1012</v>
      </c>
      <c r="I2908">
        <v>150</v>
      </c>
      <c r="J2908">
        <v>0</v>
      </c>
      <c r="K2908">
        <v>0</v>
      </c>
      <c r="L2908">
        <v>0</v>
      </c>
      <c r="M2908">
        <v>0</v>
      </c>
      <c r="N2908">
        <v>0</v>
      </c>
      <c r="O2908">
        <v>0</v>
      </c>
      <c r="P2908">
        <v>0</v>
      </c>
      <c r="Q2908">
        <v>0</v>
      </c>
      <c r="R2908">
        <v>0</v>
      </c>
      <c r="S2908">
        <v>0</v>
      </c>
      <c r="T2908">
        <v>0</v>
      </c>
      <c r="V2908">
        <v>0</v>
      </c>
      <c r="W2908">
        <v>1162</v>
      </c>
    </row>
    <row r="2909" spans="1:23" x14ac:dyDescent="0.25">
      <c r="H2909">
        <v>703</v>
      </c>
    </row>
    <row r="2910" spans="1:23" x14ac:dyDescent="0.25">
      <c r="A2910">
        <v>1452</v>
      </c>
      <c r="B2910">
        <v>2698</v>
      </c>
      <c r="C2910" t="s">
        <v>3187</v>
      </c>
      <c r="D2910" t="s">
        <v>1476</v>
      </c>
      <c r="E2910" t="s">
        <v>4184</v>
      </c>
      <c r="F2910" t="s">
        <v>4185</v>
      </c>
      <c r="G2910" t="str">
        <f>"201406005164"</f>
        <v>201406005164</v>
      </c>
      <c r="H2910" t="s">
        <v>17</v>
      </c>
      <c r="I2910">
        <v>0</v>
      </c>
      <c r="J2910">
        <v>30</v>
      </c>
      <c r="K2910">
        <v>30</v>
      </c>
      <c r="L2910">
        <v>0</v>
      </c>
      <c r="M2910">
        <v>0</v>
      </c>
      <c r="N2910">
        <v>0</v>
      </c>
      <c r="O2910">
        <v>0</v>
      </c>
      <c r="P2910">
        <v>0</v>
      </c>
      <c r="Q2910">
        <v>0</v>
      </c>
      <c r="R2910">
        <v>1</v>
      </c>
      <c r="S2910">
        <v>7</v>
      </c>
      <c r="T2910">
        <v>0</v>
      </c>
      <c r="V2910">
        <v>0</v>
      </c>
      <c r="W2910" t="s">
        <v>4186</v>
      </c>
    </row>
    <row r="2911" spans="1:23" x14ac:dyDescent="0.25">
      <c r="H2911" t="s">
        <v>70</v>
      </c>
    </row>
    <row r="2912" spans="1:23" x14ac:dyDescent="0.25">
      <c r="A2912">
        <v>1453</v>
      </c>
      <c r="B2912">
        <v>277</v>
      </c>
      <c r="C2912" t="s">
        <v>4187</v>
      </c>
      <c r="D2912" t="s">
        <v>36</v>
      </c>
      <c r="E2912" t="s">
        <v>109</v>
      </c>
      <c r="F2912" t="s">
        <v>4188</v>
      </c>
      <c r="G2912" t="str">
        <f>"201401000438"</f>
        <v>201401000438</v>
      </c>
      <c r="H2912" t="s">
        <v>142</v>
      </c>
      <c r="I2912">
        <v>0</v>
      </c>
      <c r="J2912">
        <v>70</v>
      </c>
      <c r="K2912">
        <v>30</v>
      </c>
      <c r="L2912">
        <v>0</v>
      </c>
      <c r="M2912">
        <v>0</v>
      </c>
      <c r="N2912">
        <v>0</v>
      </c>
      <c r="O2912">
        <v>0</v>
      </c>
      <c r="P2912">
        <v>0</v>
      </c>
      <c r="Q2912">
        <v>0</v>
      </c>
      <c r="R2912">
        <v>0</v>
      </c>
      <c r="S2912">
        <v>0</v>
      </c>
      <c r="T2912">
        <v>0</v>
      </c>
      <c r="V2912">
        <v>1</v>
      </c>
      <c r="W2912" t="s">
        <v>4186</v>
      </c>
    </row>
    <row r="2913" spans="1:23" x14ac:dyDescent="0.25">
      <c r="H2913" t="s">
        <v>26</v>
      </c>
    </row>
    <row r="2914" spans="1:23" x14ac:dyDescent="0.25">
      <c r="A2914">
        <v>1454</v>
      </c>
      <c r="B2914">
        <v>2490</v>
      </c>
      <c r="C2914" t="s">
        <v>4189</v>
      </c>
      <c r="D2914" t="s">
        <v>20</v>
      </c>
      <c r="E2914" t="s">
        <v>21</v>
      </c>
      <c r="F2914" t="s">
        <v>4190</v>
      </c>
      <c r="G2914" t="str">
        <f>"00014490"</f>
        <v>00014490</v>
      </c>
      <c r="H2914" t="s">
        <v>142</v>
      </c>
      <c r="I2914">
        <v>0</v>
      </c>
      <c r="J2914">
        <v>70</v>
      </c>
      <c r="K2914">
        <v>30</v>
      </c>
      <c r="L2914">
        <v>0</v>
      </c>
      <c r="M2914">
        <v>0</v>
      </c>
      <c r="N2914">
        <v>0</v>
      </c>
      <c r="O2914">
        <v>0</v>
      </c>
      <c r="P2914">
        <v>0</v>
      </c>
      <c r="Q2914">
        <v>0</v>
      </c>
      <c r="R2914">
        <v>0</v>
      </c>
      <c r="S2914">
        <v>0</v>
      </c>
      <c r="T2914">
        <v>0</v>
      </c>
      <c r="V2914">
        <v>0</v>
      </c>
      <c r="W2914" t="s">
        <v>4186</v>
      </c>
    </row>
    <row r="2915" spans="1:23" x14ac:dyDescent="0.25">
      <c r="H2915" t="s">
        <v>70</v>
      </c>
    </row>
    <row r="2916" spans="1:23" x14ac:dyDescent="0.25">
      <c r="A2916">
        <v>1455</v>
      </c>
      <c r="B2916">
        <v>1647</v>
      </c>
      <c r="C2916" t="s">
        <v>1347</v>
      </c>
      <c r="D2916" t="s">
        <v>46</v>
      </c>
      <c r="E2916" t="s">
        <v>91</v>
      </c>
      <c r="F2916" t="s">
        <v>4191</v>
      </c>
      <c r="G2916" t="str">
        <f>"201511030637"</f>
        <v>201511030637</v>
      </c>
      <c r="H2916" t="s">
        <v>1218</v>
      </c>
      <c r="I2916">
        <v>0</v>
      </c>
      <c r="J2916">
        <v>0</v>
      </c>
      <c r="K2916">
        <v>0</v>
      </c>
      <c r="L2916">
        <v>0</v>
      </c>
      <c r="M2916">
        <v>0</v>
      </c>
      <c r="N2916">
        <v>0</v>
      </c>
      <c r="O2916">
        <v>0</v>
      </c>
      <c r="P2916">
        <v>0</v>
      </c>
      <c r="Q2916">
        <v>0</v>
      </c>
      <c r="R2916">
        <v>13</v>
      </c>
      <c r="S2916">
        <v>91</v>
      </c>
      <c r="T2916">
        <v>0</v>
      </c>
      <c r="V2916">
        <v>0</v>
      </c>
      <c r="W2916" t="s">
        <v>4192</v>
      </c>
    </row>
    <row r="2917" spans="1:23" x14ac:dyDescent="0.25">
      <c r="H2917">
        <v>703</v>
      </c>
    </row>
    <row r="2918" spans="1:23" x14ac:dyDescent="0.25">
      <c r="A2918">
        <v>1456</v>
      </c>
      <c r="B2918">
        <v>2374</v>
      </c>
      <c r="C2918" t="s">
        <v>3502</v>
      </c>
      <c r="D2918" t="s">
        <v>46</v>
      </c>
      <c r="E2918" t="s">
        <v>303</v>
      </c>
      <c r="F2918" t="s">
        <v>4193</v>
      </c>
      <c r="G2918" t="str">
        <f>"201406004197"</f>
        <v>201406004197</v>
      </c>
      <c r="H2918" t="s">
        <v>281</v>
      </c>
      <c r="I2918">
        <v>0</v>
      </c>
      <c r="J2918">
        <v>50</v>
      </c>
      <c r="K2918">
        <v>70</v>
      </c>
      <c r="L2918">
        <v>0</v>
      </c>
      <c r="M2918">
        <v>0</v>
      </c>
      <c r="N2918">
        <v>0</v>
      </c>
      <c r="O2918">
        <v>0</v>
      </c>
      <c r="P2918">
        <v>0</v>
      </c>
      <c r="Q2918">
        <v>0</v>
      </c>
      <c r="R2918">
        <v>0</v>
      </c>
      <c r="S2918">
        <v>0</v>
      </c>
      <c r="T2918">
        <v>0</v>
      </c>
      <c r="V2918">
        <v>0</v>
      </c>
      <c r="W2918" t="s">
        <v>4194</v>
      </c>
    </row>
    <row r="2919" spans="1:23" x14ac:dyDescent="0.25">
      <c r="H2919" t="s">
        <v>70</v>
      </c>
    </row>
    <row r="2920" spans="1:23" x14ac:dyDescent="0.25">
      <c r="A2920">
        <v>1457</v>
      </c>
      <c r="B2920">
        <v>2699</v>
      </c>
      <c r="C2920" t="s">
        <v>4195</v>
      </c>
      <c r="D2920" t="s">
        <v>226</v>
      </c>
      <c r="E2920" t="s">
        <v>15</v>
      </c>
      <c r="F2920" t="s">
        <v>4196</v>
      </c>
      <c r="G2920" t="str">
        <f>"00226379"</f>
        <v>00226379</v>
      </c>
      <c r="H2920" t="s">
        <v>833</v>
      </c>
      <c r="I2920">
        <v>150</v>
      </c>
      <c r="J2920">
        <v>70</v>
      </c>
      <c r="K2920">
        <v>0</v>
      </c>
      <c r="L2920">
        <v>0</v>
      </c>
      <c r="M2920">
        <v>0</v>
      </c>
      <c r="N2920">
        <v>0</v>
      </c>
      <c r="O2920">
        <v>0</v>
      </c>
      <c r="P2920">
        <v>0</v>
      </c>
      <c r="Q2920">
        <v>0</v>
      </c>
      <c r="R2920">
        <v>0</v>
      </c>
      <c r="S2920">
        <v>0</v>
      </c>
      <c r="T2920">
        <v>0</v>
      </c>
      <c r="V2920">
        <v>0</v>
      </c>
      <c r="W2920" t="s">
        <v>4197</v>
      </c>
    </row>
    <row r="2921" spans="1:23" x14ac:dyDescent="0.25">
      <c r="H2921">
        <v>703</v>
      </c>
    </row>
    <row r="2922" spans="1:23" x14ac:dyDescent="0.25">
      <c r="A2922">
        <v>1458</v>
      </c>
      <c r="B2922">
        <v>1898</v>
      </c>
      <c r="C2922" t="s">
        <v>4198</v>
      </c>
      <c r="D2922" t="s">
        <v>947</v>
      </c>
      <c r="E2922" t="s">
        <v>15</v>
      </c>
      <c r="F2922" t="s">
        <v>4199</v>
      </c>
      <c r="G2922" t="str">
        <f>"00154189"</f>
        <v>00154189</v>
      </c>
      <c r="H2922" t="s">
        <v>1827</v>
      </c>
      <c r="I2922">
        <v>0</v>
      </c>
      <c r="J2922">
        <v>70</v>
      </c>
      <c r="K2922">
        <v>0</v>
      </c>
      <c r="L2922">
        <v>0</v>
      </c>
      <c r="M2922">
        <v>0</v>
      </c>
      <c r="N2922">
        <v>0</v>
      </c>
      <c r="O2922">
        <v>0</v>
      </c>
      <c r="P2922">
        <v>0</v>
      </c>
      <c r="Q2922">
        <v>0</v>
      </c>
      <c r="R2922">
        <v>40</v>
      </c>
      <c r="S2922">
        <v>280</v>
      </c>
      <c r="T2922">
        <v>0</v>
      </c>
      <c r="V2922">
        <v>0</v>
      </c>
      <c r="W2922" t="s">
        <v>4200</v>
      </c>
    </row>
    <row r="2923" spans="1:23" x14ac:dyDescent="0.25">
      <c r="H2923">
        <v>703</v>
      </c>
    </row>
    <row r="2924" spans="1:23" x14ac:dyDescent="0.25">
      <c r="A2924">
        <v>1459</v>
      </c>
      <c r="B2924">
        <v>1127</v>
      </c>
      <c r="C2924" t="s">
        <v>4201</v>
      </c>
      <c r="D2924" t="s">
        <v>722</v>
      </c>
      <c r="E2924" t="s">
        <v>53</v>
      </c>
      <c r="F2924" t="s">
        <v>4202</v>
      </c>
      <c r="G2924" t="str">
        <f>"200712005315"</f>
        <v>200712005315</v>
      </c>
      <c r="H2924">
        <v>869</v>
      </c>
      <c r="I2924">
        <v>0</v>
      </c>
      <c r="J2924">
        <v>30</v>
      </c>
      <c r="K2924">
        <v>0</v>
      </c>
      <c r="L2924">
        <v>0</v>
      </c>
      <c r="M2924">
        <v>0</v>
      </c>
      <c r="N2924">
        <v>0</v>
      </c>
      <c r="O2924">
        <v>0</v>
      </c>
      <c r="P2924">
        <v>0</v>
      </c>
      <c r="Q2924">
        <v>0</v>
      </c>
      <c r="R2924">
        <v>37</v>
      </c>
      <c r="S2924">
        <v>259</v>
      </c>
      <c r="T2924">
        <v>0</v>
      </c>
      <c r="V2924">
        <v>0</v>
      </c>
      <c r="W2924">
        <v>1158</v>
      </c>
    </row>
    <row r="2925" spans="1:23" x14ac:dyDescent="0.25">
      <c r="H2925">
        <v>703</v>
      </c>
    </row>
    <row r="2926" spans="1:23" x14ac:dyDescent="0.25">
      <c r="A2926">
        <v>1460</v>
      </c>
      <c r="B2926">
        <v>976</v>
      </c>
      <c r="C2926" t="s">
        <v>4203</v>
      </c>
      <c r="D2926" t="s">
        <v>248</v>
      </c>
      <c r="E2926" t="s">
        <v>393</v>
      </c>
      <c r="F2926" t="s">
        <v>4204</v>
      </c>
      <c r="G2926" t="str">
        <f>"00120143"</f>
        <v>00120143</v>
      </c>
      <c r="H2926" t="s">
        <v>385</v>
      </c>
      <c r="I2926">
        <v>0</v>
      </c>
      <c r="J2926">
        <v>70</v>
      </c>
      <c r="K2926">
        <v>0</v>
      </c>
      <c r="L2926">
        <v>70</v>
      </c>
      <c r="M2926">
        <v>0</v>
      </c>
      <c r="N2926">
        <v>0</v>
      </c>
      <c r="O2926">
        <v>0</v>
      </c>
      <c r="P2926">
        <v>0</v>
      </c>
      <c r="Q2926">
        <v>0</v>
      </c>
      <c r="R2926">
        <v>0</v>
      </c>
      <c r="S2926">
        <v>0</v>
      </c>
      <c r="T2926">
        <v>0</v>
      </c>
      <c r="V2926">
        <v>0</v>
      </c>
      <c r="W2926" t="s">
        <v>4205</v>
      </c>
    </row>
    <row r="2927" spans="1:23" x14ac:dyDescent="0.25">
      <c r="H2927" t="s">
        <v>70</v>
      </c>
    </row>
    <row r="2928" spans="1:23" x14ac:dyDescent="0.25">
      <c r="A2928">
        <v>1461</v>
      </c>
      <c r="B2928">
        <v>7</v>
      </c>
      <c r="C2928" t="s">
        <v>4206</v>
      </c>
      <c r="D2928" t="s">
        <v>4207</v>
      </c>
      <c r="E2928" t="s">
        <v>91</v>
      </c>
      <c r="F2928" t="s">
        <v>4208</v>
      </c>
      <c r="G2928" t="str">
        <f>"201405000375"</f>
        <v>201405000375</v>
      </c>
      <c r="H2928" t="s">
        <v>458</v>
      </c>
      <c r="I2928">
        <v>0</v>
      </c>
      <c r="J2928">
        <v>30</v>
      </c>
      <c r="K2928">
        <v>0</v>
      </c>
      <c r="L2928">
        <v>70</v>
      </c>
      <c r="M2928">
        <v>0</v>
      </c>
      <c r="N2928">
        <v>0</v>
      </c>
      <c r="O2928">
        <v>0</v>
      </c>
      <c r="P2928">
        <v>0</v>
      </c>
      <c r="Q2928">
        <v>0</v>
      </c>
      <c r="R2928">
        <v>12</v>
      </c>
      <c r="S2928">
        <v>84</v>
      </c>
      <c r="T2928">
        <v>0</v>
      </c>
      <c r="V2928">
        <v>0</v>
      </c>
      <c r="W2928" t="s">
        <v>4205</v>
      </c>
    </row>
    <row r="2929" spans="1:23" x14ac:dyDescent="0.25">
      <c r="H2929" t="s">
        <v>70</v>
      </c>
    </row>
    <row r="2930" spans="1:23" x14ac:dyDescent="0.25">
      <c r="A2930">
        <v>1462</v>
      </c>
      <c r="B2930">
        <v>2371</v>
      </c>
      <c r="C2930" t="s">
        <v>4209</v>
      </c>
      <c r="D2930" t="s">
        <v>105</v>
      </c>
      <c r="E2930" t="s">
        <v>24</v>
      </c>
      <c r="F2930" t="s">
        <v>4210</v>
      </c>
      <c r="G2930" t="str">
        <f>"00011006"</f>
        <v>00011006</v>
      </c>
      <c r="H2930" t="s">
        <v>217</v>
      </c>
      <c r="I2930">
        <v>0</v>
      </c>
      <c r="J2930">
        <v>30</v>
      </c>
      <c r="K2930">
        <v>50</v>
      </c>
      <c r="L2930">
        <v>0</v>
      </c>
      <c r="M2930">
        <v>0</v>
      </c>
      <c r="N2930">
        <v>0</v>
      </c>
      <c r="O2930">
        <v>0</v>
      </c>
      <c r="P2930">
        <v>0</v>
      </c>
      <c r="Q2930">
        <v>0</v>
      </c>
      <c r="R2930">
        <v>18</v>
      </c>
      <c r="S2930">
        <v>126</v>
      </c>
      <c r="T2930">
        <v>0</v>
      </c>
      <c r="V2930">
        <v>0</v>
      </c>
      <c r="W2930" t="s">
        <v>4205</v>
      </c>
    </row>
    <row r="2931" spans="1:23" x14ac:dyDescent="0.25">
      <c r="H2931" t="s">
        <v>70</v>
      </c>
    </row>
    <row r="2932" spans="1:23" x14ac:dyDescent="0.25">
      <c r="A2932">
        <v>1463</v>
      </c>
      <c r="B2932">
        <v>1427</v>
      </c>
      <c r="C2932" t="s">
        <v>4211</v>
      </c>
      <c r="D2932" t="s">
        <v>109</v>
      </c>
      <c r="E2932" t="s">
        <v>41</v>
      </c>
      <c r="F2932" t="s">
        <v>4212</v>
      </c>
      <c r="G2932" t="str">
        <f>"201511032966"</f>
        <v>201511032966</v>
      </c>
      <c r="H2932">
        <v>1056</v>
      </c>
      <c r="I2932">
        <v>0</v>
      </c>
      <c r="J2932">
        <v>30</v>
      </c>
      <c r="K2932">
        <v>0</v>
      </c>
      <c r="L2932">
        <v>70</v>
      </c>
      <c r="M2932">
        <v>0</v>
      </c>
      <c r="N2932">
        <v>0</v>
      </c>
      <c r="O2932">
        <v>0</v>
      </c>
      <c r="P2932">
        <v>0</v>
      </c>
      <c r="Q2932">
        <v>0</v>
      </c>
      <c r="R2932">
        <v>0</v>
      </c>
      <c r="S2932">
        <v>0</v>
      </c>
      <c r="T2932">
        <v>0</v>
      </c>
      <c r="V2932">
        <v>0</v>
      </c>
      <c r="W2932">
        <v>1156</v>
      </c>
    </row>
    <row r="2933" spans="1:23" x14ac:dyDescent="0.25">
      <c r="H2933" t="s">
        <v>70</v>
      </c>
    </row>
    <row r="2934" spans="1:23" x14ac:dyDescent="0.25">
      <c r="A2934">
        <v>1464</v>
      </c>
      <c r="B2934">
        <v>1309</v>
      </c>
      <c r="C2934" t="s">
        <v>4213</v>
      </c>
      <c r="D2934" t="s">
        <v>273</v>
      </c>
      <c r="E2934" t="s">
        <v>1818</v>
      </c>
      <c r="F2934" t="s">
        <v>4214</v>
      </c>
      <c r="G2934" t="str">
        <f>"201412000057"</f>
        <v>201412000057</v>
      </c>
      <c r="H2934">
        <v>1056</v>
      </c>
      <c r="I2934">
        <v>0</v>
      </c>
      <c r="J2934">
        <v>70</v>
      </c>
      <c r="K2934">
        <v>0</v>
      </c>
      <c r="L2934">
        <v>0</v>
      </c>
      <c r="M2934">
        <v>0</v>
      </c>
      <c r="N2934">
        <v>30</v>
      </c>
      <c r="O2934">
        <v>0</v>
      </c>
      <c r="P2934">
        <v>0</v>
      </c>
      <c r="Q2934">
        <v>0</v>
      </c>
      <c r="R2934">
        <v>0</v>
      </c>
      <c r="S2934">
        <v>0</v>
      </c>
      <c r="T2934">
        <v>0</v>
      </c>
      <c r="V2934">
        <v>0</v>
      </c>
      <c r="W2934">
        <v>1156</v>
      </c>
    </row>
    <row r="2935" spans="1:23" x14ac:dyDescent="0.25">
      <c r="H2935" t="s">
        <v>70</v>
      </c>
    </row>
    <row r="2936" spans="1:23" x14ac:dyDescent="0.25">
      <c r="A2936">
        <v>1465</v>
      </c>
      <c r="B2936">
        <v>13</v>
      </c>
      <c r="C2936" t="s">
        <v>4215</v>
      </c>
      <c r="D2936" t="s">
        <v>1026</v>
      </c>
      <c r="E2936" t="s">
        <v>15</v>
      </c>
      <c r="F2936" t="s">
        <v>4216</v>
      </c>
      <c r="G2936" t="str">
        <f>"201506003759"</f>
        <v>201506003759</v>
      </c>
      <c r="H2936" t="s">
        <v>1532</v>
      </c>
      <c r="I2936">
        <v>0</v>
      </c>
      <c r="J2936">
        <v>70</v>
      </c>
      <c r="K2936">
        <v>0</v>
      </c>
      <c r="L2936">
        <v>0</v>
      </c>
      <c r="M2936">
        <v>0</v>
      </c>
      <c r="N2936">
        <v>30</v>
      </c>
      <c r="O2936">
        <v>0</v>
      </c>
      <c r="P2936">
        <v>0</v>
      </c>
      <c r="Q2936">
        <v>0</v>
      </c>
      <c r="R2936">
        <v>18</v>
      </c>
      <c r="S2936">
        <v>126</v>
      </c>
      <c r="T2936">
        <v>0</v>
      </c>
      <c r="V2936">
        <v>0</v>
      </c>
      <c r="W2936" t="s">
        <v>4217</v>
      </c>
    </row>
    <row r="2937" spans="1:23" x14ac:dyDescent="0.25">
      <c r="H2937" t="s">
        <v>70</v>
      </c>
    </row>
    <row r="2938" spans="1:23" x14ac:dyDescent="0.25">
      <c r="A2938">
        <v>1466</v>
      </c>
      <c r="B2938">
        <v>3007</v>
      </c>
      <c r="C2938" t="s">
        <v>4218</v>
      </c>
      <c r="D2938" t="s">
        <v>4219</v>
      </c>
      <c r="E2938" t="s">
        <v>109</v>
      </c>
      <c r="F2938" t="s">
        <v>4220</v>
      </c>
      <c r="G2938" t="str">
        <f>"00228795"</f>
        <v>00228795</v>
      </c>
      <c r="H2938" t="s">
        <v>270</v>
      </c>
      <c r="I2938">
        <v>150</v>
      </c>
      <c r="J2938">
        <v>0</v>
      </c>
      <c r="K2938">
        <v>0</v>
      </c>
      <c r="L2938">
        <v>0</v>
      </c>
      <c r="M2938">
        <v>0</v>
      </c>
      <c r="N2938">
        <v>0</v>
      </c>
      <c r="O2938">
        <v>0</v>
      </c>
      <c r="P2938">
        <v>0</v>
      </c>
      <c r="Q2938">
        <v>0</v>
      </c>
      <c r="R2938">
        <v>0</v>
      </c>
      <c r="S2938">
        <v>0</v>
      </c>
      <c r="T2938">
        <v>0</v>
      </c>
      <c r="V2938">
        <v>0</v>
      </c>
      <c r="W2938" t="s">
        <v>4221</v>
      </c>
    </row>
    <row r="2939" spans="1:23" x14ac:dyDescent="0.25">
      <c r="H2939">
        <v>703</v>
      </c>
    </row>
    <row r="2940" spans="1:23" x14ac:dyDescent="0.25">
      <c r="A2940">
        <v>1467</v>
      </c>
      <c r="B2940">
        <v>1855</v>
      </c>
      <c r="C2940" t="s">
        <v>4222</v>
      </c>
      <c r="D2940" t="s">
        <v>2050</v>
      </c>
      <c r="E2940" t="s">
        <v>533</v>
      </c>
      <c r="F2940" t="s">
        <v>4223</v>
      </c>
      <c r="G2940" t="str">
        <f>"201412000661"</f>
        <v>201412000661</v>
      </c>
      <c r="H2940" t="s">
        <v>209</v>
      </c>
      <c r="I2940">
        <v>0</v>
      </c>
      <c r="J2940">
        <v>70</v>
      </c>
      <c r="K2940">
        <v>0</v>
      </c>
      <c r="L2940">
        <v>0</v>
      </c>
      <c r="M2940">
        <v>0</v>
      </c>
      <c r="N2940">
        <v>0</v>
      </c>
      <c r="O2940">
        <v>0</v>
      </c>
      <c r="P2940">
        <v>0</v>
      </c>
      <c r="Q2940">
        <v>0</v>
      </c>
      <c r="R2940">
        <v>0</v>
      </c>
      <c r="S2940">
        <v>0</v>
      </c>
      <c r="T2940">
        <v>0</v>
      </c>
      <c r="V2940">
        <v>0</v>
      </c>
      <c r="W2940" t="s">
        <v>4224</v>
      </c>
    </row>
    <row r="2941" spans="1:23" x14ac:dyDescent="0.25">
      <c r="H2941" t="s">
        <v>70</v>
      </c>
    </row>
    <row r="2942" spans="1:23" x14ac:dyDescent="0.25">
      <c r="A2942">
        <v>1468</v>
      </c>
      <c r="B2942">
        <v>2336</v>
      </c>
      <c r="C2942" t="s">
        <v>1955</v>
      </c>
      <c r="D2942" t="s">
        <v>1883</v>
      </c>
      <c r="E2942" t="s">
        <v>424</v>
      </c>
      <c r="F2942" t="s">
        <v>4225</v>
      </c>
      <c r="G2942" t="str">
        <f>"00220607"</f>
        <v>00220607</v>
      </c>
      <c r="H2942" t="s">
        <v>1238</v>
      </c>
      <c r="I2942">
        <v>0</v>
      </c>
      <c r="J2942">
        <v>70</v>
      </c>
      <c r="K2942">
        <v>30</v>
      </c>
      <c r="L2942">
        <v>0</v>
      </c>
      <c r="M2942">
        <v>0</v>
      </c>
      <c r="N2942">
        <v>0</v>
      </c>
      <c r="O2942">
        <v>0</v>
      </c>
      <c r="P2942">
        <v>0</v>
      </c>
      <c r="Q2942">
        <v>0</v>
      </c>
      <c r="R2942">
        <v>24</v>
      </c>
      <c r="S2942">
        <v>168</v>
      </c>
      <c r="T2942">
        <v>0</v>
      </c>
      <c r="V2942">
        <v>0</v>
      </c>
      <c r="W2942" t="s">
        <v>4224</v>
      </c>
    </row>
    <row r="2943" spans="1:23" x14ac:dyDescent="0.25">
      <c r="H2943" t="s">
        <v>70</v>
      </c>
    </row>
    <row r="2944" spans="1:23" x14ac:dyDescent="0.25">
      <c r="A2944">
        <v>1469</v>
      </c>
      <c r="B2944">
        <v>2230</v>
      </c>
      <c r="C2944" t="s">
        <v>4226</v>
      </c>
      <c r="D2944" t="s">
        <v>4227</v>
      </c>
      <c r="E2944" t="s">
        <v>356</v>
      </c>
      <c r="F2944" t="s">
        <v>4228</v>
      </c>
      <c r="G2944" t="str">
        <f>"201511034506"</f>
        <v>201511034506</v>
      </c>
      <c r="H2944" t="s">
        <v>2937</v>
      </c>
      <c r="I2944">
        <v>150</v>
      </c>
      <c r="J2944">
        <v>50</v>
      </c>
      <c r="K2944">
        <v>0</v>
      </c>
      <c r="L2944">
        <v>0</v>
      </c>
      <c r="M2944">
        <v>0</v>
      </c>
      <c r="N2944">
        <v>0</v>
      </c>
      <c r="O2944">
        <v>0</v>
      </c>
      <c r="P2944">
        <v>0</v>
      </c>
      <c r="Q2944">
        <v>0</v>
      </c>
      <c r="R2944">
        <v>38</v>
      </c>
      <c r="S2944">
        <v>266</v>
      </c>
      <c r="T2944">
        <v>0</v>
      </c>
      <c r="V2944">
        <v>0</v>
      </c>
      <c r="W2944" t="s">
        <v>4224</v>
      </c>
    </row>
    <row r="2945" spans="1:23" x14ac:dyDescent="0.25">
      <c r="H2945" t="s">
        <v>70</v>
      </c>
    </row>
    <row r="2946" spans="1:23" x14ac:dyDescent="0.25">
      <c r="A2946">
        <v>1470</v>
      </c>
      <c r="B2946">
        <v>1637</v>
      </c>
      <c r="C2946" t="s">
        <v>4229</v>
      </c>
      <c r="D2946" t="s">
        <v>40</v>
      </c>
      <c r="E2946" t="s">
        <v>76</v>
      </c>
      <c r="F2946" t="s">
        <v>4230</v>
      </c>
      <c r="G2946" t="str">
        <f>"201511009434"</f>
        <v>201511009434</v>
      </c>
      <c r="H2946" t="s">
        <v>1275</v>
      </c>
      <c r="I2946">
        <v>0</v>
      </c>
      <c r="J2946">
        <v>30</v>
      </c>
      <c r="K2946">
        <v>0</v>
      </c>
      <c r="L2946">
        <v>0</v>
      </c>
      <c r="M2946">
        <v>0</v>
      </c>
      <c r="N2946">
        <v>0</v>
      </c>
      <c r="O2946">
        <v>0</v>
      </c>
      <c r="P2946">
        <v>0</v>
      </c>
      <c r="Q2946">
        <v>0</v>
      </c>
      <c r="R2946">
        <v>39</v>
      </c>
      <c r="S2946">
        <v>273</v>
      </c>
      <c r="T2946">
        <v>0</v>
      </c>
      <c r="V2946">
        <v>0</v>
      </c>
      <c r="W2946" t="s">
        <v>4231</v>
      </c>
    </row>
    <row r="2947" spans="1:23" x14ac:dyDescent="0.25">
      <c r="H2947">
        <v>703</v>
      </c>
    </row>
    <row r="2948" spans="1:23" x14ac:dyDescent="0.25">
      <c r="A2948">
        <v>1471</v>
      </c>
      <c r="B2948">
        <v>2804</v>
      </c>
      <c r="C2948" t="s">
        <v>1538</v>
      </c>
      <c r="D2948" t="s">
        <v>28</v>
      </c>
      <c r="E2948" t="s">
        <v>53</v>
      </c>
      <c r="F2948" t="s">
        <v>4232</v>
      </c>
      <c r="G2948" t="str">
        <f>"201406013035"</f>
        <v>201406013035</v>
      </c>
      <c r="H2948">
        <v>913</v>
      </c>
      <c r="I2948">
        <v>0</v>
      </c>
      <c r="J2948">
        <v>70</v>
      </c>
      <c r="K2948">
        <v>0</v>
      </c>
      <c r="L2948">
        <v>30</v>
      </c>
      <c r="M2948">
        <v>0</v>
      </c>
      <c r="N2948">
        <v>0</v>
      </c>
      <c r="O2948">
        <v>0</v>
      </c>
      <c r="P2948">
        <v>0</v>
      </c>
      <c r="Q2948">
        <v>0</v>
      </c>
      <c r="R2948">
        <v>20</v>
      </c>
      <c r="S2948">
        <v>140</v>
      </c>
      <c r="T2948">
        <v>0</v>
      </c>
      <c r="V2948">
        <v>1</v>
      </c>
      <c r="W2948">
        <v>1153</v>
      </c>
    </row>
    <row r="2949" spans="1:23" x14ac:dyDescent="0.25">
      <c r="H2949" t="s">
        <v>70</v>
      </c>
    </row>
    <row r="2950" spans="1:23" x14ac:dyDescent="0.25">
      <c r="A2950">
        <v>1472</v>
      </c>
      <c r="B2950">
        <v>2874</v>
      </c>
      <c r="C2950" t="s">
        <v>4233</v>
      </c>
      <c r="D2950" t="s">
        <v>28</v>
      </c>
      <c r="E2950" t="s">
        <v>592</v>
      </c>
      <c r="F2950" t="s">
        <v>4234</v>
      </c>
      <c r="G2950" t="str">
        <f>"00096502"</f>
        <v>00096502</v>
      </c>
      <c r="H2950" t="s">
        <v>495</v>
      </c>
      <c r="I2950">
        <v>0</v>
      </c>
      <c r="J2950">
        <v>30</v>
      </c>
      <c r="K2950">
        <v>0</v>
      </c>
      <c r="L2950">
        <v>0</v>
      </c>
      <c r="M2950">
        <v>0</v>
      </c>
      <c r="N2950">
        <v>0</v>
      </c>
      <c r="O2950">
        <v>0</v>
      </c>
      <c r="P2950">
        <v>0</v>
      </c>
      <c r="Q2950">
        <v>0</v>
      </c>
      <c r="R2950">
        <v>24</v>
      </c>
      <c r="S2950">
        <v>168</v>
      </c>
      <c r="T2950">
        <v>0</v>
      </c>
      <c r="V2950">
        <v>1</v>
      </c>
      <c r="W2950" t="s">
        <v>4235</v>
      </c>
    </row>
    <row r="2951" spans="1:23" x14ac:dyDescent="0.25">
      <c r="H2951">
        <v>703</v>
      </c>
    </row>
    <row r="2952" spans="1:23" x14ac:dyDescent="0.25">
      <c r="A2952">
        <v>1473</v>
      </c>
      <c r="B2952">
        <v>1657</v>
      </c>
      <c r="C2952" t="s">
        <v>4236</v>
      </c>
      <c r="D2952" t="s">
        <v>2997</v>
      </c>
      <c r="E2952" t="s">
        <v>76</v>
      </c>
      <c r="F2952" t="s">
        <v>4237</v>
      </c>
      <c r="G2952" t="str">
        <f>"201507005291"</f>
        <v>201507005291</v>
      </c>
      <c r="H2952" t="s">
        <v>137</v>
      </c>
      <c r="I2952">
        <v>0</v>
      </c>
      <c r="J2952">
        <v>30</v>
      </c>
      <c r="K2952">
        <v>0</v>
      </c>
      <c r="L2952">
        <v>50</v>
      </c>
      <c r="M2952">
        <v>0</v>
      </c>
      <c r="N2952">
        <v>0</v>
      </c>
      <c r="O2952">
        <v>0</v>
      </c>
      <c r="P2952">
        <v>0</v>
      </c>
      <c r="Q2952">
        <v>0</v>
      </c>
      <c r="R2952">
        <v>0</v>
      </c>
      <c r="S2952">
        <v>0</v>
      </c>
      <c r="T2952">
        <v>0</v>
      </c>
      <c r="V2952">
        <v>0</v>
      </c>
      <c r="W2952" t="s">
        <v>4238</v>
      </c>
    </row>
    <row r="2953" spans="1:23" x14ac:dyDescent="0.25">
      <c r="H2953" t="s">
        <v>70</v>
      </c>
    </row>
    <row r="2954" spans="1:23" x14ac:dyDescent="0.25">
      <c r="A2954">
        <v>1474</v>
      </c>
      <c r="B2954">
        <v>2016</v>
      </c>
      <c r="C2954" t="s">
        <v>2820</v>
      </c>
      <c r="D2954" t="s">
        <v>1813</v>
      </c>
      <c r="E2954" t="s">
        <v>1633</v>
      </c>
      <c r="F2954" t="s">
        <v>4239</v>
      </c>
      <c r="G2954" t="str">
        <f>"00122698"</f>
        <v>00122698</v>
      </c>
      <c r="H2954" t="s">
        <v>385</v>
      </c>
      <c r="I2954">
        <v>0</v>
      </c>
      <c r="J2954">
        <v>30</v>
      </c>
      <c r="K2954">
        <v>0</v>
      </c>
      <c r="L2954">
        <v>0</v>
      </c>
      <c r="M2954">
        <v>0</v>
      </c>
      <c r="N2954">
        <v>0</v>
      </c>
      <c r="O2954">
        <v>0</v>
      </c>
      <c r="P2954">
        <v>0</v>
      </c>
      <c r="Q2954">
        <v>0</v>
      </c>
      <c r="R2954">
        <v>15</v>
      </c>
      <c r="S2954">
        <v>105</v>
      </c>
      <c r="T2954">
        <v>0</v>
      </c>
      <c r="V2954">
        <v>1</v>
      </c>
      <c r="W2954" t="s">
        <v>4238</v>
      </c>
    </row>
    <row r="2955" spans="1:23" x14ac:dyDescent="0.25">
      <c r="H2955">
        <v>703</v>
      </c>
    </row>
    <row r="2956" spans="1:23" x14ac:dyDescent="0.25">
      <c r="A2956">
        <v>1475</v>
      </c>
      <c r="B2956">
        <v>942</v>
      </c>
      <c r="C2956" t="s">
        <v>4240</v>
      </c>
      <c r="D2956" t="s">
        <v>1472</v>
      </c>
      <c r="E2956" t="s">
        <v>4241</v>
      </c>
      <c r="F2956" t="s">
        <v>4242</v>
      </c>
      <c r="G2956" t="str">
        <f>"201412000797"</f>
        <v>201412000797</v>
      </c>
      <c r="H2956" t="s">
        <v>385</v>
      </c>
      <c r="I2956">
        <v>0</v>
      </c>
      <c r="J2956">
        <v>70</v>
      </c>
      <c r="K2956">
        <v>0</v>
      </c>
      <c r="L2956">
        <v>0</v>
      </c>
      <c r="M2956">
        <v>30</v>
      </c>
      <c r="N2956">
        <v>0</v>
      </c>
      <c r="O2956">
        <v>0</v>
      </c>
      <c r="P2956">
        <v>0</v>
      </c>
      <c r="Q2956">
        <v>0</v>
      </c>
      <c r="R2956">
        <v>5</v>
      </c>
      <c r="S2956">
        <v>35</v>
      </c>
      <c r="T2956">
        <v>0</v>
      </c>
      <c r="V2956">
        <v>2</v>
      </c>
      <c r="W2956" t="s">
        <v>4238</v>
      </c>
    </row>
    <row r="2957" spans="1:23" x14ac:dyDescent="0.25">
      <c r="H2957" t="s">
        <v>70</v>
      </c>
    </row>
    <row r="2958" spans="1:23" x14ac:dyDescent="0.25">
      <c r="A2958">
        <v>1476</v>
      </c>
      <c r="B2958">
        <v>1054</v>
      </c>
      <c r="C2958" t="s">
        <v>4243</v>
      </c>
      <c r="D2958" t="s">
        <v>597</v>
      </c>
      <c r="E2958" t="s">
        <v>4244</v>
      </c>
      <c r="F2958" t="s">
        <v>4245</v>
      </c>
      <c r="G2958" t="str">
        <f>"200712004331"</f>
        <v>200712004331</v>
      </c>
      <c r="H2958" t="s">
        <v>202</v>
      </c>
      <c r="I2958">
        <v>0</v>
      </c>
      <c r="J2958">
        <v>0</v>
      </c>
      <c r="K2958">
        <v>0</v>
      </c>
      <c r="L2958">
        <v>0</v>
      </c>
      <c r="M2958">
        <v>0</v>
      </c>
      <c r="N2958">
        <v>0</v>
      </c>
      <c r="O2958">
        <v>0</v>
      </c>
      <c r="P2958">
        <v>0</v>
      </c>
      <c r="Q2958">
        <v>0</v>
      </c>
      <c r="R2958">
        <v>24</v>
      </c>
      <c r="S2958">
        <v>168</v>
      </c>
      <c r="T2958">
        <v>0</v>
      </c>
      <c r="V2958">
        <v>0</v>
      </c>
      <c r="W2958" t="s">
        <v>4238</v>
      </c>
    </row>
    <row r="2959" spans="1:23" x14ac:dyDescent="0.25">
      <c r="H2959">
        <v>703</v>
      </c>
    </row>
    <row r="2960" spans="1:23" x14ac:dyDescent="0.25">
      <c r="A2960">
        <v>1477</v>
      </c>
      <c r="B2960">
        <v>1250</v>
      </c>
      <c r="C2960" t="s">
        <v>4246</v>
      </c>
      <c r="D2960" t="s">
        <v>1411</v>
      </c>
      <c r="E2960" t="s">
        <v>1350</v>
      </c>
      <c r="F2960" t="s">
        <v>4247</v>
      </c>
      <c r="G2960" t="str">
        <f>"00223835"</f>
        <v>00223835</v>
      </c>
      <c r="H2960" t="s">
        <v>358</v>
      </c>
      <c r="I2960">
        <v>0</v>
      </c>
      <c r="J2960">
        <v>70</v>
      </c>
      <c r="K2960">
        <v>0</v>
      </c>
      <c r="L2960">
        <v>30</v>
      </c>
      <c r="M2960">
        <v>0</v>
      </c>
      <c r="N2960">
        <v>0</v>
      </c>
      <c r="O2960">
        <v>0</v>
      </c>
      <c r="P2960">
        <v>0</v>
      </c>
      <c r="Q2960">
        <v>0</v>
      </c>
      <c r="R2960">
        <v>8</v>
      </c>
      <c r="S2960">
        <v>56</v>
      </c>
      <c r="T2960">
        <v>0</v>
      </c>
      <c r="V2960">
        <v>0</v>
      </c>
      <c r="W2960" t="s">
        <v>4248</v>
      </c>
    </row>
    <row r="2961" spans="1:23" x14ac:dyDescent="0.25">
      <c r="H2961" t="s">
        <v>70</v>
      </c>
    </row>
    <row r="2962" spans="1:23" x14ac:dyDescent="0.25">
      <c r="A2962">
        <v>1478</v>
      </c>
      <c r="B2962">
        <v>85</v>
      </c>
      <c r="C2962" t="s">
        <v>3383</v>
      </c>
      <c r="D2962" t="s">
        <v>4249</v>
      </c>
      <c r="E2962" t="s">
        <v>109</v>
      </c>
      <c r="F2962" t="s">
        <v>4250</v>
      </c>
      <c r="G2962" t="str">
        <f>"00187000"</f>
        <v>00187000</v>
      </c>
      <c r="H2962" t="s">
        <v>465</v>
      </c>
      <c r="I2962">
        <v>0</v>
      </c>
      <c r="J2962">
        <v>0</v>
      </c>
      <c r="K2962">
        <v>0</v>
      </c>
      <c r="L2962">
        <v>0</v>
      </c>
      <c r="M2962">
        <v>0</v>
      </c>
      <c r="N2962">
        <v>0</v>
      </c>
      <c r="O2962">
        <v>0</v>
      </c>
      <c r="P2962">
        <v>0</v>
      </c>
      <c r="Q2962">
        <v>0</v>
      </c>
      <c r="R2962">
        <v>27</v>
      </c>
      <c r="S2962">
        <v>189</v>
      </c>
      <c r="T2962">
        <v>0</v>
      </c>
      <c r="V2962">
        <v>0</v>
      </c>
      <c r="W2962" t="s">
        <v>4248</v>
      </c>
    </row>
    <row r="2963" spans="1:23" x14ac:dyDescent="0.25">
      <c r="H2963">
        <v>703</v>
      </c>
    </row>
    <row r="2964" spans="1:23" x14ac:dyDescent="0.25">
      <c r="A2964">
        <v>1479</v>
      </c>
      <c r="B2964">
        <v>2447</v>
      </c>
      <c r="C2964" t="s">
        <v>4251</v>
      </c>
      <c r="D2964" t="s">
        <v>219</v>
      </c>
      <c r="E2964" t="s">
        <v>4252</v>
      </c>
      <c r="F2964" t="s">
        <v>4253</v>
      </c>
      <c r="G2964" t="str">
        <f>"201406007558"</f>
        <v>201406007558</v>
      </c>
      <c r="H2964">
        <v>913</v>
      </c>
      <c r="I2964">
        <v>0</v>
      </c>
      <c r="J2964">
        <v>70</v>
      </c>
      <c r="K2964">
        <v>0</v>
      </c>
      <c r="L2964">
        <v>0</v>
      </c>
      <c r="M2964">
        <v>0</v>
      </c>
      <c r="N2964">
        <v>0</v>
      </c>
      <c r="O2964">
        <v>0</v>
      </c>
      <c r="P2964">
        <v>0</v>
      </c>
      <c r="Q2964">
        <v>0</v>
      </c>
      <c r="R2964">
        <v>24</v>
      </c>
      <c r="S2964">
        <v>168</v>
      </c>
      <c r="T2964">
        <v>0</v>
      </c>
      <c r="V2964">
        <v>0</v>
      </c>
      <c r="W2964">
        <v>1151</v>
      </c>
    </row>
    <row r="2965" spans="1:23" x14ac:dyDescent="0.25">
      <c r="H2965">
        <v>703</v>
      </c>
    </row>
    <row r="2966" spans="1:23" x14ac:dyDescent="0.25">
      <c r="A2966">
        <v>1480</v>
      </c>
      <c r="B2966">
        <v>2138</v>
      </c>
      <c r="C2966" t="s">
        <v>960</v>
      </c>
      <c r="D2966" t="s">
        <v>285</v>
      </c>
      <c r="E2966" t="s">
        <v>24</v>
      </c>
      <c r="F2966" t="s">
        <v>4254</v>
      </c>
      <c r="G2966" t="str">
        <f>"201511025663"</f>
        <v>201511025663</v>
      </c>
      <c r="H2966" t="s">
        <v>305</v>
      </c>
      <c r="I2966">
        <v>0</v>
      </c>
      <c r="J2966">
        <v>30</v>
      </c>
      <c r="K2966">
        <v>0</v>
      </c>
      <c r="L2966">
        <v>0</v>
      </c>
      <c r="M2966">
        <v>0</v>
      </c>
      <c r="N2966">
        <v>0</v>
      </c>
      <c r="O2966">
        <v>0</v>
      </c>
      <c r="P2966">
        <v>0</v>
      </c>
      <c r="Q2966">
        <v>0</v>
      </c>
      <c r="R2966">
        <v>8</v>
      </c>
      <c r="S2966">
        <v>56</v>
      </c>
      <c r="T2966">
        <v>0</v>
      </c>
      <c r="V2966">
        <v>0</v>
      </c>
      <c r="W2966" t="s">
        <v>4255</v>
      </c>
    </row>
    <row r="2967" spans="1:23" x14ac:dyDescent="0.25">
      <c r="H2967" t="s">
        <v>70</v>
      </c>
    </row>
    <row r="2968" spans="1:23" x14ac:dyDescent="0.25">
      <c r="A2968">
        <v>1481</v>
      </c>
      <c r="B2968">
        <v>2287</v>
      </c>
      <c r="C2968" t="s">
        <v>4256</v>
      </c>
      <c r="D2968" t="s">
        <v>32</v>
      </c>
      <c r="E2968" t="s">
        <v>478</v>
      </c>
      <c r="F2968" t="s">
        <v>4257</v>
      </c>
      <c r="G2968" t="str">
        <f>"201504002355"</f>
        <v>201504002355</v>
      </c>
      <c r="H2968" t="s">
        <v>73</v>
      </c>
      <c r="I2968">
        <v>0</v>
      </c>
      <c r="J2968">
        <v>70</v>
      </c>
      <c r="K2968">
        <v>30</v>
      </c>
      <c r="L2968">
        <v>0</v>
      </c>
      <c r="M2968">
        <v>0</v>
      </c>
      <c r="N2968">
        <v>0</v>
      </c>
      <c r="O2968">
        <v>0</v>
      </c>
      <c r="P2968">
        <v>0</v>
      </c>
      <c r="Q2968">
        <v>0</v>
      </c>
      <c r="R2968">
        <v>0</v>
      </c>
      <c r="S2968">
        <v>0</v>
      </c>
      <c r="T2968">
        <v>0</v>
      </c>
      <c r="V2968">
        <v>0</v>
      </c>
      <c r="W2968" t="s">
        <v>4258</v>
      </c>
    </row>
    <row r="2969" spans="1:23" x14ac:dyDescent="0.25">
      <c r="H2969" t="s">
        <v>70</v>
      </c>
    </row>
    <row r="2970" spans="1:23" x14ac:dyDescent="0.25">
      <c r="A2970">
        <v>1482</v>
      </c>
      <c r="B2970">
        <v>3146</v>
      </c>
      <c r="C2970" t="s">
        <v>2654</v>
      </c>
      <c r="D2970" t="s">
        <v>315</v>
      </c>
      <c r="E2970" t="s">
        <v>53</v>
      </c>
      <c r="F2970" t="s">
        <v>4259</v>
      </c>
      <c r="G2970" t="str">
        <f>"00019554"</f>
        <v>00019554</v>
      </c>
      <c r="H2970" t="s">
        <v>73</v>
      </c>
      <c r="I2970">
        <v>0</v>
      </c>
      <c r="J2970">
        <v>70</v>
      </c>
      <c r="K2970">
        <v>0</v>
      </c>
      <c r="L2970">
        <v>0</v>
      </c>
      <c r="M2970">
        <v>30</v>
      </c>
      <c r="N2970">
        <v>0</v>
      </c>
      <c r="O2970">
        <v>0</v>
      </c>
      <c r="P2970">
        <v>0</v>
      </c>
      <c r="Q2970">
        <v>0</v>
      </c>
      <c r="R2970">
        <v>0</v>
      </c>
      <c r="S2970">
        <v>0</v>
      </c>
      <c r="T2970">
        <v>0</v>
      </c>
      <c r="V2970">
        <v>0</v>
      </c>
      <c r="W2970" t="s">
        <v>4258</v>
      </c>
    </row>
    <row r="2971" spans="1:23" x14ac:dyDescent="0.25">
      <c r="H2971" t="s">
        <v>70</v>
      </c>
    </row>
    <row r="2972" spans="1:23" x14ac:dyDescent="0.25">
      <c r="A2972">
        <v>1483</v>
      </c>
      <c r="B2972">
        <v>1802</v>
      </c>
      <c r="C2972" t="s">
        <v>4260</v>
      </c>
      <c r="D2972" t="s">
        <v>96</v>
      </c>
      <c r="E2972" t="s">
        <v>53</v>
      </c>
      <c r="F2972" t="s">
        <v>4261</v>
      </c>
      <c r="G2972" t="str">
        <f>"201406017228"</f>
        <v>201406017228</v>
      </c>
      <c r="H2972" t="s">
        <v>458</v>
      </c>
      <c r="I2972">
        <v>0</v>
      </c>
      <c r="J2972">
        <v>30</v>
      </c>
      <c r="K2972">
        <v>0</v>
      </c>
      <c r="L2972">
        <v>0</v>
      </c>
      <c r="M2972">
        <v>0</v>
      </c>
      <c r="N2972">
        <v>0</v>
      </c>
      <c r="O2972">
        <v>0</v>
      </c>
      <c r="P2972">
        <v>0</v>
      </c>
      <c r="Q2972">
        <v>0</v>
      </c>
      <c r="R2972">
        <v>21</v>
      </c>
      <c r="S2972">
        <v>147</v>
      </c>
      <c r="T2972">
        <v>0</v>
      </c>
      <c r="V2972">
        <v>1</v>
      </c>
      <c r="W2972" t="s">
        <v>4258</v>
      </c>
    </row>
    <row r="2973" spans="1:23" x14ac:dyDescent="0.25">
      <c r="H2973">
        <v>703</v>
      </c>
    </row>
    <row r="2974" spans="1:23" x14ac:dyDescent="0.25">
      <c r="A2974">
        <v>1484</v>
      </c>
      <c r="B2974">
        <v>1005</v>
      </c>
      <c r="C2974" t="s">
        <v>4262</v>
      </c>
      <c r="D2974" t="s">
        <v>911</v>
      </c>
      <c r="E2974" t="s">
        <v>41</v>
      </c>
      <c r="F2974" t="s">
        <v>4263</v>
      </c>
      <c r="G2974" t="str">
        <f>"00142685"</f>
        <v>00142685</v>
      </c>
      <c r="H2974" t="s">
        <v>1241</v>
      </c>
      <c r="I2974">
        <v>0</v>
      </c>
      <c r="J2974">
        <v>0</v>
      </c>
      <c r="K2974">
        <v>0</v>
      </c>
      <c r="L2974">
        <v>0</v>
      </c>
      <c r="M2974">
        <v>0</v>
      </c>
      <c r="N2974">
        <v>0</v>
      </c>
      <c r="O2974">
        <v>0</v>
      </c>
      <c r="P2974">
        <v>0</v>
      </c>
      <c r="Q2974">
        <v>0</v>
      </c>
      <c r="R2974">
        <v>38</v>
      </c>
      <c r="S2974">
        <v>266</v>
      </c>
      <c r="T2974">
        <v>0</v>
      </c>
      <c r="V2974">
        <v>2</v>
      </c>
      <c r="W2974" t="s">
        <v>4264</v>
      </c>
    </row>
    <row r="2975" spans="1:23" x14ac:dyDescent="0.25">
      <c r="H2975">
        <v>703</v>
      </c>
    </row>
    <row r="2976" spans="1:23" x14ac:dyDescent="0.25">
      <c r="A2976">
        <v>1485</v>
      </c>
      <c r="B2976">
        <v>2317</v>
      </c>
      <c r="C2976" t="s">
        <v>4265</v>
      </c>
      <c r="D2976" t="s">
        <v>4266</v>
      </c>
      <c r="E2976" t="s">
        <v>4267</v>
      </c>
      <c r="F2976" t="s">
        <v>4268</v>
      </c>
      <c r="G2976" t="str">
        <f>"00152584"</f>
        <v>00152584</v>
      </c>
      <c r="H2976" t="s">
        <v>4269</v>
      </c>
      <c r="I2976">
        <v>0</v>
      </c>
      <c r="J2976">
        <v>0</v>
      </c>
      <c r="K2976">
        <v>0</v>
      </c>
      <c r="L2976">
        <v>0</v>
      </c>
      <c r="M2976">
        <v>0</v>
      </c>
      <c r="N2976">
        <v>0</v>
      </c>
      <c r="O2976">
        <v>0</v>
      </c>
      <c r="P2976">
        <v>70</v>
      </c>
      <c r="Q2976">
        <v>0</v>
      </c>
      <c r="R2976">
        <v>0</v>
      </c>
      <c r="S2976">
        <v>0</v>
      </c>
      <c r="T2976">
        <v>0</v>
      </c>
      <c r="V2976">
        <v>0</v>
      </c>
      <c r="W2976" t="s">
        <v>4270</v>
      </c>
    </row>
    <row r="2977" spans="1:23" x14ac:dyDescent="0.25">
      <c r="H2977">
        <v>703</v>
      </c>
    </row>
    <row r="2978" spans="1:23" x14ac:dyDescent="0.25">
      <c r="A2978">
        <v>1486</v>
      </c>
      <c r="B2978">
        <v>2664</v>
      </c>
      <c r="C2978" t="s">
        <v>1692</v>
      </c>
      <c r="D2978" t="s">
        <v>1768</v>
      </c>
      <c r="E2978" t="s">
        <v>3214</v>
      </c>
      <c r="F2978" t="s">
        <v>4271</v>
      </c>
      <c r="G2978" t="str">
        <f>"201406018436"</f>
        <v>201406018436</v>
      </c>
      <c r="H2978">
        <v>891</v>
      </c>
      <c r="I2978">
        <v>0</v>
      </c>
      <c r="J2978">
        <v>70</v>
      </c>
      <c r="K2978">
        <v>0</v>
      </c>
      <c r="L2978">
        <v>0</v>
      </c>
      <c r="M2978">
        <v>0</v>
      </c>
      <c r="N2978">
        <v>0</v>
      </c>
      <c r="O2978">
        <v>0</v>
      </c>
      <c r="P2978">
        <v>0</v>
      </c>
      <c r="Q2978">
        <v>0</v>
      </c>
      <c r="R2978">
        <v>27</v>
      </c>
      <c r="S2978">
        <v>189</v>
      </c>
      <c r="T2978">
        <v>0</v>
      </c>
      <c r="V2978">
        <v>0</v>
      </c>
      <c r="W2978">
        <v>1150</v>
      </c>
    </row>
    <row r="2979" spans="1:23" x14ac:dyDescent="0.25">
      <c r="H2979">
        <v>703</v>
      </c>
    </row>
    <row r="2980" spans="1:23" x14ac:dyDescent="0.25">
      <c r="A2980">
        <v>1487</v>
      </c>
      <c r="B2980">
        <v>319</v>
      </c>
      <c r="C2980" t="s">
        <v>4272</v>
      </c>
      <c r="D2980" t="s">
        <v>4273</v>
      </c>
      <c r="E2980" t="s">
        <v>53</v>
      </c>
      <c r="F2980" t="s">
        <v>4274</v>
      </c>
      <c r="G2980" t="str">
        <f>"00185449"</f>
        <v>00185449</v>
      </c>
      <c r="H2980" t="s">
        <v>1931</v>
      </c>
      <c r="I2980">
        <v>150</v>
      </c>
      <c r="J2980">
        <v>0</v>
      </c>
      <c r="K2980">
        <v>0</v>
      </c>
      <c r="L2980">
        <v>0</v>
      </c>
      <c r="M2980">
        <v>0</v>
      </c>
      <c r="N2980">
        <v>0</v>
      </c>
      <c r="O2980">
        <v>0</v>
      </c>
      <c r="P2980">
        <v>0</v>
      </c>
      <c r="Q2980">
        <v>0</v>
      </c>
      <c r="R2980">
        <v>30</v>
      </c>
      <c r="S2980">
        <v>210</v>
      </c>
      <c r="T2980">
        <v>0</v>
      </c>
      <c r="V2980">
        <v>2</v>
      </c>
      <c r="W2980" t="s">
        <v>4275</v>
      </c>
    </row>
    <row r="2981" spans="1:23" x14ac:dyDescent="0.25">
      <c r="H2981">
        <v>703</v>
      </c>
    </row>
    <row r="2982" spans="1:23" x14ac:dyDescent="0.25">
      <c r="A2982">
        <v>1488</v>
      </c>
      <c r="B2982">
        <v>231</v>
      </c>
      <c r="C2982" t="s">
        <v>35</v>
      </c>
      <c r="D2982" t="s">
        <v>273</v>
      </c>
      <c r="E2982" t="s">
        <v>37</v>
      </c>
      <c r="F2982" t="s">
        <v>4276</v>
      </c>
      <c r="G2982" t="str">
        <f>"00199795"</f>
        <v>00199795</v>
      </c>
      <c r="H2982" t="s">
        <v>142</v>
      </c>
      <c r="I2982">
        <v>0</v>
      </c>
      <c r="J2982">
        <v>30</v>
      </c>
      <c r="K2982">
        <v>0</v>
      </c>
      <c r="L2982">
        <v>30</v>
      </c>
      <c r="M2982">
        <v>0</v>
      </c>
      <c r="N2982">
        <v>0</v>
      </c>
      <c r="O2982">
        <v>0</v>
      </c>
      <c r="P2982">
        <v>0</v>
      </c>
      <c r="Q2982">
        <v>0</v>
      </c>
      <c r="R2982">
        <v>4</v>
      </c>
      <c r="S2982">
        <v>28</v>
      </c>
      <c r="T2982">
        <v>0</v>
      </c>
      <c r="V2982">
        <v>0</v>
      </c>
      <c r="W2982" t="s">
        <v>4277</v>
      </c>
    </row>
    <row r="2983" spans="1:23" x14ac:dyDescent="0.25">
      <c r="H2983" t="s">
        <v>70</v>
      </c>
    </row>
    <row r="2984" spans="1:23" x14ac:dyDescent="0.25">
      <c r="A2984">
        <v>1489</v>
      </c>
      <c r="B2984">
        <v>2150</v>
      </c>
      <c r="C2984" t="s">
        <v>4278</v>
      </c>
      <c r="D2984" t="s">
        <v>41</v>
      </c>
      <c r="E2984" t="s">
        <v>4279</v>
      </c>
      <c r="F2984" t="s">
        <v>4280</v>
      </c>
      <c r="G2984" t="str">
        <f>"201406012352"</f>
        <v>201406012352</v>
      </c>
      <c r="H2984">
        <v>1089</v>
      </c>
      <c r="I2984">
        <v>0</v>
      </c>
      <c r="J2984">
        <v>30</v>
      </c>
      <c r="K2984">
        <v>30</v>
      </c>
      <c r="L2984">
        <v>0</v>
      </c>
      <c r="M2984">
        <v>0</v>
      </c>
      <c r="N2984">
        <v>0</v>
      </c>
      <c r="O2984">
        <v>0</v>
      </c>
      <c r="P2984">
        <v>0</v>
      </c>
      <c r="Q2984">
        <v>0</v>
      </c>
      <c r="R2984">
        <v>0</v>
      </c>
      <c r="S2984">
        <v>0</v>
      </c>
      <c r="T2984">
        <v>0</v>
      </c>
      <c r="V2984">
        <v>0</v>
      </c>
      <c r="W2984">
        <v>1149</v>
      </c>
    </row>
    <row r="2985" spans="1:23" x14ac:dyDescent="0.25">
      <c r="H2985" t="s">
        <v>70</v>
      </c>
    </row>
    <row r="2986" spans="1:23" x14ac:dyDescent="0.25">
      <c r="A2986">
        <v>1490</v>
      </c>
      <c r="B2986">
        <v>1169</v>
      </c>
      <c r="C2986" t="s">
        <v>4281</v>
      </c>
      <c r="D2986" t="s">
        <v>454</v>
      </c>
      <c r="E2986" t="s">
        <v>41</v>
      </c>
      <c r="F2986" t="s">
        <v>4282</v>
      </c>
      <c r="G2986" t="str">
        <f>"201511043202"</f>
        <v>201511043202</v>
      </c>
      <c r="H2986" t="s">
        <v>73</v>
      </c>
      <c r="I2986">
        <v>0</v>
      </c>
      <c r="J2986">
        <v>70</v>
      </c>
      <c r="K2986">
        <v>0</v>
      </c>
      <c r="L2986">
        <v>0</v>
      </c>
      <c r="M2986">
        <v>0</v>
      </c>
      <c r="N2986">
        <v>0</v>
      </c>
      <c r="O2986">
        <v>0</v>
      </c>
      <c r="P2986">
        <v>0</v>
      </c>
      <c r="Q2986">
        <v>0</v>
      </c>
      <c r="R2986">
        <v>4</v>
      </c>
      <c r="S2986">
        <v>28</v>
      </c>
      <c r="T2986">
        <v>0</v>
      </c>
      <c r="V2986">
        <v>0</v>
      </c>
      <c r="W2986" t="s">
        <v>4283</v>
      </c>
    </row>
    <row r="2987" spans="1:23" x14ac:dyDescent="0.25">
      <c r="H2987" t="s">
        <v>70</v>
      </c>
    </row>
    <row r="2988" spans="1:23" x14ac:dyDescent="0.25">
      <c r="A2988">
        <v>1491</v>
      </c>
      <c r="B2988">
        <v>1541</v>
      </c>
      <c r="C2988" t="s">
        <v>4284</v>
      </c>
      <c r="D2988" t="s">
        <v>4285</v>
      </c>
      <c r="E2988" t="s">
        <v>4286</v>
      </c>
      <c r="F2988" t="s">
        <v>4287</v>
      </c>
      <c r="G2988" t="str">
        <f>"00199409"</f>
        <v>00199409</v>
      </c>
      <c r="H2988" t="s">
        <v>331</v>
      </c>
      <c r="I2988">
        <v>0</v>
      </c>
      <c r="J2988">
        <v>50</v>
      </c>
      <c r="K2988">
        <v>0</v>
      </c>
      <c r="L2988">
        <v>0</v>
      </c>
      <c r="M2988">
        <v>0</v>
      </c>
      <c r="N2988">
        <v>0</v>
      </c>
      <c r="O2988">
        <v>0</v>
      </c>
      <c r="P2988">
        <v>0</v>
      </c>
      <c r="Q2988">
        <v>0</v>
      </c>
      <c r="R2988">
        <v>20</v>
      </c>
      <c r="S2988">
        <v>140</v>
      </c>
      <c r="T2988">
        <v>0</v>
      </c>
      <c r="V2988">
        <v>0</v>
      </c>
      <c r="W2988" t="s">
        <v>4288</v>
      </c>
    </row>
    <row r="2989" spans="1:23" x14ac:dyDescent="0.25">
      <c r="H2989">
        <v>703</v>
      </c>
    </row>
    <row r="2990" spans="1:23" x14ac:dyDescent="0.25">
      <c r="A2990">
        <v>1492</v>
      </c>
      <c r="B2990">
        <v>198</v>
      </c>
      <c r="C2990" t="s">
        <v>4289</v>
      </c>
      <c r="D2990" t="s">
        <v>2520</v>
      </c>
      <c r="E2990" t="s">
        <v>91</v>
      </c>
      <c r="F2990" t="s">
        <v>4290</v>
      </c>
      <c r="G2990" t="str">
        <f>"00015731"</f>
        <v>00015731</v>
      </c>
      <c r="H2990">
        <v>968</v>
      </c>
      <c r="I2990">
        <v>150</v>
      </c>
      <c r="J2990">
        <v>30</v>
      </c>
      <c r="K2990">
        <v>0</v>
      </c>
      <c r="L2990">
        <v>0</v>
      </c>
      <c r="M2990">
        <v>0</v>
      </c>
      <c r="N2990">
        <v>0</v>
      </c>
      <c r="O2990">
        <v>0</v>
      </c>
      <c r="P2990">
        <v>0</v>
      </c>
      <c r="Q2990">
        <v>0</v>
      </c>
      <c r="R2990">
        <v>0</v>
      </c>
      <c r="S2990">
        <v>0</v>
      </c>
      <c r="T2990">
        <v>0</v>
      </c>
      <c r="V2990">
        <v>0</v>
      </c>
      <c r="W2990">
        <v>1148</v>
      </c>
    </row>
    <row r="2991" spans="1:23" x14ac:dyDescent="0.25">
      <c r="H2991" t="s">
        <v>70</v>
      </c>
    </row>
    <row r="2992" spans="1:23" x14ac:dyDescent="0.25">
      <c r="A2992">
        <v>1493</v>
      </c>
      <c r="B2992">
        <v>340</v>
      </c>
      <c r="C2992" t="s">
        <v>4291</v>
      </c>
      <c r="D2992" t="s">
        <v>248</v>
      </c>
      <c r="E2992" t="s">
        <v>53</v>
      </c>
      <c r="F2992" t="s">
        <v>4292</v>
      </c>
      <c r="G2992" t="str">
        <f>"00226940"</f>
        <v>00226940</v>
      </c>
      <c r="H2992">
        <v>968</v>
      </c>
      <c r="I2992">
        <v>150</v>
      </c>
      <c r="J2992">
        <v>30</v>
      </c>
      <c r="K2992">
        <v>0</v>
      </c>
      <c r="L2992">
        <v>0</v>
      </c>
      <c r="M2992">
        <v>0</v>
      </c>
      <c r="N2992">
        <v>0</v>
      </c>
      <c r="O2992">
        <v>0</v>
      </c>
      <c r="P2992">
        <v>0</v>
      </c>
      <c r="Q2992">
        <v>0</v>
      </c>
      <c r="R2992">
        <v>0</v>
      </c>
      <c r="S2992">
        <v>0</v>
      </c>
      <c r="T2992">
        <v>0</v>
      </c>
      <c r="V2992">
        <v>0</v>
      </c>
      <c r="W2992">
        <v>1148</v>
      </c>
    </row>
    <row r="2993" spans="1:23" x14ac:dyDescent="0.25">
      <c r="H2993">
        <v>703</v>
      </c>
    </row>
    <row r="2994" spans="1:23" x14ac:dyDescent="0.25">
      <c r="A2994">
        <v>1494</v>
      </c>
      <c r="B2994">
        <v>1107</v>
      </c>
      <c r="C2994" t="s">
        <v>4293</v>
      </c>
      <c r="D2994" t="s">
        <v>501</v>
      </c>
      <c r="E2994" t="s">
        <v>454</v>
      </c>
      <c r="F2994" t="s">
        <v>4294</v>
      </c>
      <c r="G2994" t="str">
        <f>"201511031202"</f>
        <v>201511031202</v>
      </c>
      <c r="H2994">
        <v>924</v>
      </c>
      <c r="I2994">
        <v>0</v>
      </c>
      <c r="J2994">
        <v>70</v>
      </c>
      <c r="K2994">
        <v>0</v>
      </c>
      <c r="L2994">
        <v>0</v>
      </c>
      <c r="M2994">
        <v>70</v>
      </c>
      <c r="N2994">
        <v>0</v>
      </c>
      <c r="O2994">
        <v>0</v>
      </c>
      <c r="P2994">
        <v>0</v>
      </c>
      <c r="Q2994">
        <v>0</v>
      </c>
      <c r="R2994">
        <v>12</v>
      </c>
      <c r="S2994">
        <v>84</v>
      </c>
      <c r="T2994">
        <v>0</v>
      </c>
      <c r="V2994">
        <v>0</v>
      </c>
      <c r="W2994">
        <v>1148</v>
      </c>
    </row>
    <row r="2995" spans="1:23" x14ac:dyDescent="0.25">
      <c r="H2995" t="s">
        <v>70</v>
      </c>
    </row>
    <row r="2996" spans="1:23" x14ac:dyDescent="0.25">
      <c r="A2996">
        <v>1495</v>
      </c>
      <c r="B2996">
        <v>1410</v>
      </c>
      <c r="C2996" t="s">
        <v>4295</v>
      </c>
      <c r="D2996" t="s">
        <v>4296</v>
      </c>
      <c r="E2996" t="s">
        <v>1147</v>
      </c>
      <c r="F2996" t="s">
        <v>4297</v>
      </c>
      <c r="G2996" t="str">
        <f>"00129079"</f>
        <v>00129079</v>
      </c>
      <c r="H2996" t="s">
        <v>385</v>
      </c>
      <c r="I2996">
        <v>0</v>
      </c>
      <c r="J2996">
        <v>70</v>
      </c>
      <c r="K2996">
        <v>0</v>
      </c>
      <c r="L2996">
        <v>0</v>
      </c>
      <c r="M2996">
        <v>30</v>
      </c>
      <c r="N2996">
        <v>30</v>
      </c>
      <c r="O2996">
        <v>0</v>
      </c>
      <c r="P2996">
        <v>0</v>
      </c>
      <c r="Q2996">
        <v>0</v>
      </c>
      <c r="R2996">
        <v>0</v>
      </c>
      <c r="S2996">
        <v>0</v>
      </c>
      <c r="T2996">
        <v>0</v>
      </c>
      <c r="V2996">
        <v>0</v>
      </c>
      <c r="W2996" t="s">
        <v>4298</v>
      </c>
    </row>
    <row r="2997" spans="1:23" x14ac:dyDescent="0.25">
      <c r="H2997" t="s">
        <v>70</v>
      </c>
    </row>
    <row r="2998" spans="1:23" x14ac:dyDescent="0.25">
      <c r="A2998">
        <v>1496</v>
      </c>
      <c r="B2998">
        <v>909</v>
      </c>
      <c r="C2998" t="s">
        <v>4299</v>
      </c>
      <c r="D2998" t="s">
        <v>293</v>
      </c>
      <c r="E2998" t="s">
        <v>263</v>
      </c>
      <c r="F2998" t="s">
        <v>4300</v>
      </c>
      <c r="G2998" t="str">
        <f>"201406007825"</f>
        <v>201406007825</v>
      </c>
      <c r="H2998" t="s">
        <v>202</v>
      </c>
      <c r="I2998">
        <v>0</v>
      </c>
      <c r="J2998">
        <v>30</v>
      </c>
      <c r="K2998">
        <v>0</v>
      </c>
      <c r="L2998">
        <v>0</v>
      </c>
      <c r="M2998">
        <v>0</v>
      </c>
      <c r="N2998">
        <v>0</v>
      </c>
      <c r="O2998">
        <v>0</v>
      </c>
      <c r="P2998">
        <v>0</v>
      </c>
      <c r="Q2998">
        <v>0</v>
      </c>
      <c r="R2998">
        <v>19</v>
      </c>
      <c r="S2998">
        <v>133</v>
      </c>
      <c r="T2998">
        <v>0</v>
      </c>
      <c r="V2998">
        <v>1</v>
      </c>
      <c r="W2998" t="s">
        <v>4298</v>
      </c>
    </row>
    <row r="2999" spans="1:23" x14ac:dyDescent="0.25">
      <c r="H2999">
        <v>703</v>
      </c>
    </row>
    <row r="3000" spans="1:23" x14ac:dyDescent="0.25">
      <c r="A3000">
        <v>1497</v>
      </c>
      <c r="B3000">
        <v>440</v>
      </c>
      <c r="C3000" t="s">
        <v>4301</v>
      </c>
      <c r="D3000" t="s">
        <v>15</v>
      </c>
      <c r="E3000" t="s">
        <v>842</v>
      </c>
      <c r="F3000" t="s">
        <v>4302</v>
      </c>
      <c r="G3000" t="str">
        <f>"201405001841"</f>
        <v>201405001841</v>
      </c>
      <c r="H3000">
        <v>858</v>
      </c>
      <c r="I3000">
        <v>0</v>
      </c>
      <c r="J3000">
        <v>30</v>
      </c>
      <c r="K3000">
        <v>0</v>
      </c>
      <c r="L3000">
        <v>0</v>
      </c>
      <c r="M3000">
        <v>0</v>
      </c>
      <c r="N3000">
        <v>0</v>
      </c>
      <c r="O3000">
        <v>0</v>
      </c>
      <c r="P3000">
        <v>0</v>
      </c>
      <c r="Q3000">
        <v>0</v>
      </c>
      <c r="R3000">
        <v>37</v>
      </c>
      <c r="S3000">
        <v>259</v>
      </c>
      <c r="T3000">
        <v>0</v>
      </c>
      <c r="V3000">
        <v>0</v>
      </c>
      <c r="W3000">
        <v>1147</v>
      </c>
    </row>
    <row r="3001" spans="1:23" x14ac:dyDescent="0.25">
      <c r="H3001">
        <v>703</v>
      </c>
    </row>
    <row r="3002" spans="1:23" x14ac:dyDescent="0.25">
      <c r="A3002">
        <v>1498</v>
      </c>
      <c r="B3002">
        <v>159</v>
      </c>
      <c r="C3002" t="s">
        <v>4303</v>
      </c>
      <c r="D3002" t="s">
        <v>1131</v>
      </c>
      <c r="E3002" t="s">
        <v>21</v>
      </c>
      <c r="F3002" t="s">
        <v>4304</v>
      </c>
      <c r="G3002" t="str">
        <f>"201412000560"</f>
        <v>201412000560</v>
      </c>
      <c r="H3002" t="s">
        <v>232</v>
      </c>
      <c r="I3002">
        <v>0</v>
      </c>
      <c r="J3002">
        <v>70</v>
      </c>
      <c r="K3002">
        <v>0</v>
      </c>
      <c r="L3002">
        <v>0</v>
      </c>
      <c r="M3002">
        <v>0</v>
      </c>
      <c r="N3002">
        <v>0</v>
      </c>
      <c r="O3002">
        <v>0</v>
      </c>
      <c r="P3002">
        <v>0</v>
      </c>
      <c r="Q3002">
        <v>0</v>
      </c>
      <c r="R3002">
        <v>0</v>
      </c>
      <c r="S3002">
        <v>0</v>
      </c>
      <c r="T3002">
        <v>0</v>
      </c>
      <c r="V3002">
        <v>0</v>
      </c>
      <c r="W3002" t="s">
        <v>4305</v>
      </c>
    </row>
    <row r="3003" spans="1:23" x14ac:dyDescent="0.25">
      <c r="H3003" t="s">
        <v>70</v>
      </c>
    </row>
    <row r="3004" spans="1:23" x14ac:dyDescent="0.25">
      <c r="A3004">
        <v>1499</v>
      </c>
      <c r="B3004">
        <v>1904</v>
      </c>
      <c r="C3004" t="s">
        <v>4306</v>
      </c>
      <c r="D3004" t="s">
        <v>4307</v>
      </c>
      <c r="E3004" t="s">
        <v>4308</v>
      </c>
      <c r="F3004" t="s">
        <v>4309</v>
      </c>
      <c r="G3004" t="str">
        <f>"00166083"</f>
        <v>00166083</v>
      </c>
      <c r="H3004" t="s">
        <v>2791</v>
      </c>
      <c r="I3004">
        <v>150</v>
      </c>
      <c r="J3004">
        <v>0</v>
      </c>
      <c r="K3004">
        <v>0</v>
      </c>
      <c r="L3004">
        <v>0</v>
      </c>
      <c r="M3004">
        <v>0</v>
      </c>
      <c r="N3004">
        <v>0</v>
      </c>
      <c r="O3004">
        <v>0</v>
      </c>
      <c r="P3004">
        <v>0</v>
      </c>
      <c r="Q3004">
        <v>0</v>
      </c>
      <c r="R3004">
        <v>20</v>
      </c>
      <c r="S3004">
        <v>140</v>
      </c>
      <c r="T3004">
        <v>0</v>
      </c>
      <c r="V3004">
        <v>0</v>
      </c>
      <c r="W3004" t="s">
        <v>4305</v>
      </c>
    </row>
    <row r="3005" spans="1:23" x14ac:dyDescent="0.25">
      <c r="H3005">
        <v>703</v>
      </c>
    </row>
    <row r="3006" spans="1:23" x14ac:dyDescent="0.25">
      <c r="A3006">
        <v>1500</v>
      </c>
      <c r="B3006">
        <v>448</v>
      </c>
      <c r="C3006" t="s">
        <v>4310</v>
      </c>
      <c r="D3006" t="s">
        <v>46</v>
      </c>
      <c r="E3006" t="s">
        <v>76</v>
      </c>
      <c r="F3006" t="s">
        <v>4311</v>
      </c>
      <c r="G3006" t="str">
        <f>"00131812"</f>
        <v>00131812</v>
      </c>
      <c r="H3006" t="s">
        <v>1124</v>
      </c>
      <c r="I3006">
        <v>0</v>
      </c>
      <c r="J3006">
        <v>50</v>
      </c>
      <c r="K3006">
        <v>30</v>
      </c>
      <c r="L3006">
        <v>0</v>
      </c>
      <c r="M3006">
        <v>0</v>
      </c>
      <c r="N3006">
        <v>0</v>
      </c>
      <c r="O3006">
        <v>0</v>
      </c>
      <c r="P3006">
        <v>0</v>
      </c>
      <c r="Q3006">
        <v>0</v>
      </c>
      <c r="R3006">
        <v>5</v>
      </c>
      <c r="S3006">
        <v>35</v>
      </c>
      <c r="T3006">
        <v>0</v>
      </c>
      <c r="V3006">
        <v>0</v>
      </c>
      <c r="W3006" t="s">
        <v>4312</v>
      </c>
    </row>
    <row r="3007" spans="1:23" x14ac:dyDescent="0.25">
      <c r="H3007" t="s">
        <v>70</v>
      </c>
    </row>
    <row r="3008" spans="1:23" x14ac:dyDescent="0.25">
      <c r="A3008">
        <v>1501</v>
      </c>
      <c r="B3008">
        <v>1111</v>
      </c>
      <c r="C3008" t="s">
        <v>4313</v>
      </c>
      <c r="D3008" t="s">
        <v>67</v>
      </c>
      <c r="E3008" t="s">
        <v>53</v>
      </c>
      <c r="F3008" t="s">
        <v>4314</v>
      </c>
      <c r="G3008" t="str">
        <f>"201511039226"</f>
        <v>201511039226</v>
      </c>
      <c r="H3008" t="s">
        <v>2235</v>
      </c>
      <c r="I3008">
        <v>150</v>
      </c>
      <c r="J3008">
        <v>0</v>
      </c>
      <c r="K3008">
        <v>0</v>
      </c>
      <c r="L3008">
        <v>0</v>
      </c>
      <c r="M3008">
        <v>0</v>
      </c>
      <c r="N3008">
        <v>0</v>
      </c>
      <c r="O3008">
        <v>0</v>
      </c>
      <c r="P3008">
        <v>0</v>
      </c>
      <c r="Q3008">
        <v>0</v>
      </c>
      <c r="R3008">
        <v>22</v>
      </c>
      <c r="S3008">
        <v>154</v>
      </c>
      <c r="T3008">
        <v>0</v>
      </c>
      <c r="V3008">
        <v>0</v>
      </c>
      <c r="W3008" t="s">
        <v>4315</v>
      </c>
    </row>
    <row r="3009" spans="1:23" x14ac:dyDescent="0.25">
      <c r="H3009" t="s">
        <v>2316</v>
      </c>
    </row>
    <row r="3010" spans="1:23" x14ac:dyDescent="0.25">
      <c r="A3010">
        <v>1502</v>
      </c>
      <c r="B3010">
        <v>179</v>
      </c>
      <c r="C3010" t="s">
        <v>4316</v>
      </c>
      <c r="D3010" t="s">
        <v>4317</v>
      </c>
      <c r="E3010" t="s">
        <v>47</v>
      </c>
      <c r="F3010" t="s">
        <v>4318</v>
      </c>
      <c r="G3010" t="str">
        <f>"201511042074"</f>
        <v>201511042074</v>
      </c>
      <c r="H3010">
        <v>1045</v>
      </c>
      <c r="I3010">
        <v>0</v>
      </c>
      <c r="J3010">
        <v>30</v>
      </c>
      <c r="K3010">
        <v>0</v>
      </c>
      <c r="L3010">
        <v>70</v>
      </c>
      <c r="M3010">
        <v>0</v>
      </c>
      <c r="N3010">
        <v>0</v>
      </c>
      <c r="O3010">
        <v>0</v>
      </c>
      <c r="P3010">
        <v>0</v>
      </c>
      <c r="Q3010">
        <v>0</v>
      </c>
      <c r="R3010">
        <v>0</v>
      </c>
      <c r="S3010">
        <v>0</v>
      </c>
      <c r="T3010">
        <v>0</v>
      </c>
      <c r="V3010">
        <v>1</v>
      </c>
      <c r="W3010">
        <v>1145</v>
      </c>
    </row>
    <row r="3011" spans="1:23" x14ac:dyDescent="0.25">
      <c r="H3011" t="s">
        <v>70</v>
      </c>
    </row>
    <row r="3012" spans="1:23" x14ac:dyDescent="0.25">
      <c r="A3012">
        <v>1503</v>
      </c>
      <c r="B3012">
        <v>2019</v>
      </c>
      <c r="C3012" t="s">
        <v>4319</v>
      </c>
      <c r="D3012" t="s">
        <v>392</v>
      </c>
      <c r="E3012" t="s">
        <v>109</v>
      </c>
      <c r="F3012" t="s">
        <v>4320</v>
      </c>
      <c r="G3012" t="str">
        <f>"201002000426"</f>
        <v>201002000426</v>
      </c>
      <c r="H3012">
        <v>1045</v>
      </c>
      <c r="I3012">
        <v>0</v>
      </c>
      <c r="J3012">
        <v>30</v>
      </c>
      <c r="K3012">
        <v>0</v>
      </c>
      <c r="L3012">
        <v>70</v>
      </c>
      <c r="M3012">
        <v>0</v>
      </c>
      <c r="N3012">
        <v>0</v>
      </c>
      <c r="O3012">
        <v>0</v>
      </c>
      <c r="P3012">
        <v>0</v>
      </c>
      <c r="Q3012">
        <v>0</v>
      </c>
      <c r="R3012">
        <v>0</v>
      </c>
      <c r="S3012">
        <v>0</v>
      </c>
      <c r="T3012">
        <v>0</v>
      </c>
      <c r="V3012">
        <v>2</v>
      </c>
      <c r="W3012">
        <v>1145</v>
      </c>
    </row>
    <row r="3013" spans="1:23" x14ac:dyDescent="0.25">
      <c r="H3013" t="s">
        <v>70</v>
      </c>
    </row>
    <row r="3014" spans="1:23" x14ac:dyDescent="0.25">
      <c r="A3014">
        <v>1504</v>
      </c>
      <c r="B3014">
        <v>2537</v>
      </c>
      <c r="C3014" t="s">
        <v>4321</v>
      </c>
      <c r="D3014" t="s">
        <v>185</v>
      </c>
      <c r="E3014" t="s">
        <v>2758</v>
      </c>
      <c r="F3014" t="s">
        <v>4322</v>
      </c>
      <c r="G3014" t="str">
        <f>"00225296"</f>
        <v>00225296</v>
      </c>
      <c r="H3014">
        <v>1045</v>
      </c>
      <c r="I3014">
        <v>0</v>
      </c>
      <c r="J3014">
        <v>70</v>
      </c>
      <c r="K3014">
        <v>0</v>
      </c>
      <c r="L3014">
        <v>0</v>
      </c>
      <c r="M3014">
        <v>0</v>
      </c>
      <c r="N3014">
        <v>0</v>
      </c>
      <c r="O3014">
        <v>30</v>
      </c>
      <c r="P3014">
        <v>0</v>
      </c>
      <c r="Q3014">
        <v>0</v>
      </c>
      <c r="R3014">
        <v>0</v>
      </c>
      <c r="S3014">
        <v>0</v>
      </c>
      <c r="T3014">
        <v>0</v>
      </c>
      <c r="V3014">
        <v>2</v>
      </c>
      <c r="W3014">
        <v>1145</v>
      </c>
    </row>
    <row r="3015" spans="1:23" x14ac:dyDescent="0.25">
      <c r="H3015">
        <v>703</v>
      </c>
    </row>
    <row r="3016" spans="1:23" x14ac:dyDescent="0.25">
      <c r="A3016">
        <v>1505</v>
      </c>
      <c r="B3016">
        <v>1415</v>
      </c>
      <c r="C3016" t="s">
        <v>4323</v>
      </c>
      <c r="D3016" t="s">
        <v>40</v>
      </c>
      <c r="E3016" t="s">
        <v>113</v>
      </c>
      <c r="F3016" t="s">
        <v>4324</v>
      </c>
      <c r="G3016" t="str">
        <f>"00120492"</f>
        <v>00120492</v>
      </c>
      <c r="H3016" t="s">
        <v>570</v>
      </c>
      <c r="I3016">
        <v>0</v>
      </c>
      <c r="J3016">
        <v>30</v>
      </c>
      <c r="K3016">
        <v>70</v>
      </c>
      <c r="L3016">
        <v>0</v>
      </c>
      <c r="M3016">
        <v>0</v>
      </c>
      <c r="N3016">
        <v>0</v>
      </c>
      <c r="O3016">
        <v>0</v>
      </c>
      <c r="P3016">
        <v>0</v>
      </c>
      <c r="Q3016">
        <v>0</v>
      </c>
      <c r="R3016">
        <v>5</v>
      </c>
      <c r="S3016">
        <v>35</v>
      </c>
      <c r="T3016">
        <v>0</v>
      </c>
      <c r="V3016">
        <v>1</v>
      </c>
      <c r="W3016" t="s">
        <v>4325</v>
      </c>
    </row>
    <row r="3017" spans="1:23" x14ac:dyDescent="0.25">
      <c r="H3017" t="s">
        <v>26</v>
      </c>
    </row>
    <row r="3018" spans="1:23" x14ac:dyDescent="0.25">
      <c r="A3018">
        <v>1506</v>
      </c>
      <c r="B3018">
        <v>2532</v>
      </c>
      <c r="C3018" t="s">
        <v>4326</v>
      </c>
      <c r="D3018" t="s">
        <v>140</v>
      </c>
      <c r="E3018" t="s">
        <v>53</v>
      </c>
      <c r="F3018" t="s">
        <v>4327</v>
      </c>
      <c r="G3018" t="str">
        <f>"00158470"</f>
        <v>00158470</v>
      </c>
      <c r="H3018" t="s">
        <v>1532</v>
      </c>
      <c r="I3018">
        <v>150</v>
      </c>
      <c r="J3018">
        <v>30</v>
      </c>
      <c r="K3018">
        <v>0</v>
      </c>
      <c r="L3018">
        <v>0</v>
      </c>
      <c r="M3018">
        <v>0</v>
      </c>
      <c r="N3018">
        <v>0</v>
      </c>
      <c r="O3018">
        <v>0</v>
      </c>
      <c r="P3018">
        <v>0</v>
      </c>
      <c r="Q3018">
        <v>0</v>
      </c>
      <c r="R3018">
        <v>5</v>
      </c>
      <c r="S3018">
        <v>35</v>
      </c>
      <c r="T3018">
        <v>0</v>
      </c>
      <c r="V3018">
        <v>0</v>
      </c>
      <c r="W3018" t="s">
        <v>4328</v>
      </c>
    </row>
    <row r="3019" spans="1:23" x14ac:dyDescent="0.25">
      <c r="H3019">
        <v>703</v>
      </c>
    </row>
    <row r="3020" spans="1:23" x14ac:dyDescent="0.25">
      <c r="A3020">
        <v>1507</v>
      </c>
      <c r="B3020">
        <v>195</v>
      </c>
      <c r="C3020" t="s">
        <v>4329</v>
      </c>
      <c r="D3020" t="s">
        <v>109</v>
      </c>
      <c r="E3020" t="s">
        <v>91</v>
      </c>
      <c r="F3020" t="s">
        <v>4330</v>
      </c>
      <c r="G3020" t="str">
        <f>"200712000320"</f>
        <v>200712000320</v>
      </c>
      <c r="H3020" t="s">
        <v>2235</v>
      </c>
      <c r="I3020">
        <v>0</v>
      </c>
      <c r="J3020">
        <v>30</v>
      </c>
      <c r="K3020">
        <v>0</v>
      </c>
      <c r="L3020">
        <v>0</v>
      </c>
      <c r="M3020">
        <v>0</v>
      </c>
      <c r="N3020">
        <v>0</v>
      </c>
      <c r="O3020">
        <v>0</v>
      </c>
      <c r="P3020">
        <v>0</v>
      </c>
      <c r="Q3020">
        <v>0</v>
      </c>
      <c r="R3020">
        <v>39</v>
      </c>
      <c r="S3020">
        <v>273</v>
      </c>
      <c r="T3020">
        <v>0</v>
      </c>
      <c r="V3020">
        <v>0</v>
      </c>
      <c r="W3020" t="s">
        <v>4328</v>
      </c>
    </row>
    <row r="3021" spans="1:23" x14ac:dyDescent="0.25">
      <c r="H3021">
        <v>703</v>
      </c>
    </row>
    <row r="3022" spans="1:23" x14ac:dyDescent="0.25">
      <c r="A3022">
        <v>1508</v>
      </c>
      <c r="B3022">
        <v>608</v>
      </c>
      <c r="C3022" t="s">
        <v>4331</v>
      </c>
      <c r="D3022" t="s">
        <v>752</v>
      </c>
      <c r="E3022" t="s">
        <v>76</v>
      </c>
      <c r="F3022" t="s">
        <v>4332</v>
      </c>
      <c r="G3022" t="str">
        <f>"201511027356"</f>
        <v>201511027356</v>
      </c>
      <c r="H3022">
        <v>869</v>
      </c>
      <c r="I3022">
        <v>0</v>
      </c>
      <c r="J3022">
        <v>30</v>
      </c>
      <c r="K3022">
        <v>0</v>
      </c>
      <c r="L3022">
        <v>0</v>
      </c>
      <c r="M3022">
        <v>0</v>
      </c>
      <c r="N3022">
        <v>0</v>
      </c>
      <c r="O3022">
        <v>0</v>
      </c>
      <c r="P3022">
        <v>0</v>
      </c>
      <c r="Q3022">
        <v>0</v>
      </c>
      <c r="R3022">
        <v>35</v>
      </c>
      <c r="S3022">
        <v>245</v>
      </c>
      <c r="T3022">
        <v>0</v>
      </c>
      <c r="V3022">
        <v>2</v>
      </c>
      <c r="W3022">
        <v>1144</v>
      </c>
    </row>
    <row r="3023" spans="1:23" x14ac:dyDescent="0.25">
      <c r="H3023">
        <v>703</v>
      </c>
    </row>
    <row r="3024" spans="1:23" x14ac:dyDescent="0.25">
      <c r="A3024">
        <v>1509</v>
      </c>
      <c r="B3024">
        <v>2606</v>
      </c>
      <c r="C3024" t="s">
        <v>878</v>
      </c>
      <c r="D3024" t="s">
        <v>28</v>
      </c>
      <c r="E3024" t="s">
        <v>1633</v>
      </c>
      <c r="F3024" t="s">
        <v>4333</v>
      </c>
      <c r="G3024" t="str">
        <f>"200801002170"</f>
        <v>200801002170</v>
      </c>
      <c r="H3024">
        <v>605</v>
      </c>
      <c r="I3024">
        <v>0</v>
      </c>
      <c r="J3024">
        <v>0</v>
      </c>
      <c r="K3024">
        <v>0</v>
      </c>
      <c r="L3024">
        <v>0</v>
      </c>
      <c r="M3024">
        <v>0</v>
      </c>
      <c r="N3024">
        <v>0</v>
      </c>
      <c r="O3024">
        <v>0</v>
      </c>
      <c r="P3024">
        <v>0</v>
      </c>
      <c r="Q3024">
        <v>0</v>
      </c>
      <c r="R3024">
        <v>77</v>
      </c>
      <c r="S3024">
        <v>539</v>
      </c>
      <c r="T3024">
        <v>0</v>
      </c>
      <c r="V3024">
        <v>1</v>
      </c>
      <c r="W3024">
        <v>1144</v>
      </c>
    </row>
    <row r="3025" spans="1:23" x14ac:dyDescent="0.25">
      <c r="H3025">
        <v>703</v>
      </c>
    </row>
    <row r="3026" spans="1:23" x14ac:dyDescent="0.25">
      <c r="A3026">
        <v>1510</v>
      </c>
      <c r="B3026">
        <v>402</v>
      </c>
      <c r="C3026" t="s">
        <v>4334</v>
      </c>
      <c r="D3026" t="s">
        <v>3330</v>
      </c>
      <c r="E3026" t="s">
        <v>105</v>
      </c>
      <c r="F3026" t="s">
        <v>4335</v>
      </c>
      <c r="G3026" t="str">
        <f>"201402005709"</f>
        <v>201402005709</v>
      </c>
      <c r="H3026">
        <v>946</v>
      </c>
      <c r="I3026">
        <v>0</v>
      </c>
      <c r="J3026">
        <v>50</v>
      </c>
      <c r="K3026">
        <v>0</v>
      </c>
      <c r="L3026">
        <v>0</v>
      </c>
      <c r="M3026">
        <v>0</v>
      </c>
      <c r="N3026">
        <v>0</v>
      </c>
      <c r="O3026">
        <v>0</v>
      </c>
      <c r="P3026">
        <v>0</v>
      </c>
      <c r="Q3026">
        <v>0</v>
      </c>
      <c r="R3026">
        <v>21</v>
      </c>
      <c r="S3026">
        <v>147</v>
      </c>
      <c r="T3026">
        <v>0</v>
      </c>
      <c r="V3026">
        <v>0</v>
      </c>
      <c r="W3026">
        <v>1143</v>
      </c>
    </row>
    <row r="3027" spans="1:23" x14ac:dyDescent="0.25">
      <c r="H3027">
        <v>703</v>
      </c>
    </row>
    <row r="3028" spans="1:23" x14ac:dyDescent="0.25">
      <c r="A3028">
        <v>1511</v>
      </c>
      <c r="B3028">
        <v>549</v>
      </c>
      <c r="C3028" t="s">
        <v>4336</v>
      </c>
      <c r="D3028" t="s">
        <v>432</v>
      </c>
      <c r="E3028" t="s">
        <v>53</v>
      </c>
      <c r="F3028" t="s">
        <v>4337</v>
      </c>
      <c r="G3028" t="str">
        <f>"201512003929"</f>
        <v>201512003929</v>
      </c>
      <c r="H3028" t="s">
        <v>2343</v>
      </c>
      <c r="I3028">
        <v>150</v>
      </c>
      <c r="J3028">
        <v>50</v>
      </c>
      <c r="K3028">
        <v>0</v>
      </c>
      <c r="L3028">
        <v>0</v>
      </c>
      <c r="M3028">
        <v>0</v>
      </c>
      <c r="N3028">
        <v>0</v>
      </c>
      <c r="O3028">
        <v>0</v>
      </c>
      <c r="P3028">
        <v>0</v>
      </c>
      <c r="Q3028">
        <v>0</v>
      </c>
      <c r="R3028">
        <v>6</v>
      </c>
      <c r="S3028">
        <v>42</v>
      </c>
      <c r="T3028">
        <v>0</v>
      </c>
      <c r="V3028">
        <v>0</v>
      </c>
      <c r="W3028" t="s">
        <v>4338</v>
      </c>
    </row>
    <row r="3029" spans="1:23" x14ac:dyDescent="0.25">
      <c r="H3029">
        <v>703</v>
      </c>
    </row>
    <row r="3030" spans="1:23" x14ac:dyDescent="0.25">
      <c r="A3030">
        <v>1512</v>
      </c>
      <c r="B3030">
        <v>2599</v>
      </c>
      <c r="C3030" t="s">
        <v>4339</v>
      </c>
      <c r="D3030" t="s">
        <v>4340</v>
      </c>
      <c r="E3030" t="s">
        <v>4341</v>
      </c>
      <c r="F3030" t="s">
        <v>4342</v>
      </c>
      <c r="G3030" t="str">
        <f>"00173677"</f>
        <v>00173677</v>
      </c>
      <c r="H3030">
        <v>836</v>
      </c>
      <c r="I3030">
        <v>150</v>
      </c>
      <c r="J3030">
        <v>30</v>
      </c>
      <c r="K3030">
        <v>0</v>
      </c>
      <c r="L3030">
        <v>0</v>
      </c>
      <c r="M3030">
        <v>0</v>
      </c>
      <c r="N3030">
        <v>0</v>
      </c>
      <c r="O3030">
        <v>0</v>
      </c>
      <c r="P3030">
        <v>0</v>
      </c>
      <c r="Q3030">
        <v>70</v>
      </c>
      <c r="R3030">
        <v>8</v>
      </c>
      <c r="S3030">
        <v>56</v>
      </c>
      <c r="T3030">
        <v>0</v>
      </c>
      <c r="V3030">
        <v>0</v>
      </c>
      <c r="W3030">
        <v>1142</v>
      </c>
    </row>
    <row r="3031" spans="1:23" x14ac:dyDescent="0.25">
      <c r="H3031">
        <v>703</v>
      </c>
    </row>
    <row r="3032" spans="1:23" x14ac:dyDescent="0.25">
      <c r="A3032">
        <v>1513</v>
      </c>
      <c r="B3032">
        <v>2313</v>
      </c>
      <c r="C3032" t="s">
        <v>4343</v>
      </c>
      <c r="D3032" t="s">
        <v>4344</v>
      </c>
      <c r="E3032" t="s">
        <v>156</v>
      </c>
      <c r="F3032" t="s">
        <v>4345</v>
      </c>
      <c r="G3032" t="str">
        <f>"00017524"</f>
        <v>00017524</v>
      </c>
      <c r="H3032" t="s">
        <v>142</v>
      </c>
      <c r="I3032">
        <v>0</v>
      </c>
      <c r="J3032">
        <v>50</v>
      </c>
      <c r="K3032">
        <v>0</v>
      </c>
      <c r="L3032">
        <v>30</v>
      </c>
      <c r="M3032">
        <v>0</v>
      </c>
      <c r="N3032">
        <v>0</v>
      </c>
      <c r="O3032">
        <v>0</v>
      </c>
      <c r="P3032">
        <v>0</v>
      </c>
      <c r="Q3032">
        <v>0</v>
      </c>
      <c r="R3032">
        <v>0</v>
      </c>
      <c r="S3032">
        <v>0</v>
      </c>
      <c r="T3032">
        <v>0</v>
      </c>
      <c r="V3032">
        <v>0</v>
      </c>
      <c r="W3032" t="s">
        <v>4346</v>
      </c>
    </row>
    <row r="3033" spans="1:23" x14ac:dyDescent="0.25">
      <c r="H3033" t="s">
        <v>70</v>
      </c>
    </row>
    <row r="3034" spans="1:23" x14ac:dyDescent="0.25">
      <c r="A3034">
        <v>1514</v>
      </c>
      <c r="B3034">
        <v>1782</v>
      </c>
      <c r="C3034" t="s">
        <v>4347</v>
      </c>
      <c r="D3034" t="s">
        <v>4348</v>
      </c>
      <c r="E3034" t="s">
        <v>4349</v>
      </c>
      <c r="F3034" t="s">
        <v>4350</v>
      </c>
      <c r="G3034" t="str">
        <f>"00064010"</f>
        <v>00064010</v>
      </c>
      <c r="H3034" t="s">
        <v>531</v>
      </c>
      <c r="I3034">
        <v>150</v>
      </c>
      <c r="J3034">
        <v>50</v>
      </c>
      <c r="K3034">
        <v>0</v>
      </c>
      <c r="L3034">
        <v>0</v>
      </c>
      <c r="M3034">
        <v>0</v>
      </c>
      <c r="N3034">
        <v>0</v>
      </c>
      <c r="O3034">
        <v>0</v>
      </c>
      <c r="P3034">
        <v>0</v>
      </c>
      <c r="Q3034">
        <v>0</v>
      </c>
      <c r="R3034">
        <v>0</v>
      </c>
      <c r="S3034">
        <v>0</v>
      </c>
      <c r="T3034">
        <v>0</v>
      </c>
      <c r="V3034">
        <v>1</v>
      </c>
      <c r="W3034" t="s">
        <v>4351</v>
      </c>
    </row>
    <row r="3035" spans="1:23" x14ac:dyDescent="0.25">
      <c r="H3035" t="s">
        <v>70</v>
      </c>
    </row>
    <row r="3036" spans="1:23" x14ac:dyDescent="0.25">
      <c r="A3036">
        <v>1515</v>
      </c>
      <c r="B3036">
        <v>2577</v>
      </c>
      <c r="C3036" t="s">
        <v>4352</v>
      </c>
      <c r="D3036" t="s">
        <v>4353</v>
      </c>
      <c r="E3036" t="s">
        <v>109</v>
      </c>
      <c r="F3036" t="s">
        <v>4354</v>
      </c>
      <c r="G3036" t="str">
        <f>"00084710"</f>
        <v>00084710</v>
      </c>
      <c r="H3036" t="s">
        <v>531</v>
      </c>
      <c r="I3036">
        <v>150</v>
      </c>
      <c r="J3036">
        <v>50</v>
      </c>
      <c r="K3036">
        <v>0</v>
      </c>
      <c r="L3036">
        <v>0</v>
      </c>
      <c r="M3036">
        <v>0</v>
      </c>
      <c r="N3036">
        <v>0</v>
      </c>
      <c r="O3036">
        <v>0</v>
      </c>
      <c r="P3036">
        <v>0</v>
      </c>
      <c r="Q3036">
        <v>0</v>
      </c>
      <c r="R3036">
        <v>0</v>
      </c>
      <c r="S3036">
        <v>0</v>
      </c>
      <c r="T3036">
        <v>0</v>
      </c>
      <c r="V3036">
        <v>0</v>
      </c>
      <c r="W3036" t="s">
        <v>4351</v>
      </c>
    </row>
    <row r="3037" spans="1:23" x14ac:dyDescent="0.25">
      <c r="H3037">
        <v>703</v>
      </c>
    </row>
    <row r="3038" spans="1:23" x14ac:dyDescent="0.25">
      <c r="A3038">
        <v>1516</v>
      </c>
      <c r="B3038">
        <v>2635</v>
      </c>
      <c r="C3038" t="s">
        <v>4215</v>
      </c>
      <c r="D3038" t="s">
        <v>226</v>
      </c>
      <c r="E3038" t="s">
        <v>58</v>
      </c>
      <c r="F3038" t="s">
        <v>4355</v>
      </c>
      <c r="G3038" t="str">
        <f>"201412006863"</f>
        <v>201412006863</v>
      </c>
      <c r="H3038" t="s">
        <v>1049</v>
      </c>
      <c r="I3038">
        <v>0</v>
      </c>
      <c r="J3038">
        <v>70</v>
      </c>
      <c r="K3038">
        <v>0</v>
      </c>
      <c r="L3038">
        <v>0</v>
      </c>
      <c r="M3038">
        <v>30</v>
      </c>
      <c r="N3038">
        <v>0</v>
      </c>
      <c r="O3038">
        <v>0</v>
      </c>
      <c r="P3038">
        <v>0</v>
      </c>
      <c r="Q3038">
        <v>0</v>
      </c>
      <c r="R3038">
        <v>19</v>
      </c>
      <c r="S3038">
        <v>133</v>
      </c>
      <c r="T3038">
        <v>0</v>
      </c>
      <c r="V3038">
        <v>0</v>
      </c>
      <c r="W3038" t="s">
        <v>4351</v>
      </c>
    </row>
    <row r="3039" spans="1:23" x14ac:dyDescent="0.25">
      <c r="H3039" t="s">
        <v>70</v>
      </c>
    </row>
    <row r="3040" spans="1:23" x14ac:dyDescent="0.25">
      <c r="A3040">
        <v>1517</v>
      </c>
      <c r="B3040">
        <v>1742</v>
      </c>
      <c r="C3040" t="s">
        <v>4356</v>
      </c>
      <c r="D3040" t="s">
        <v>255</v>
      </c>
      <c r="E3040" t="s">
        <v>53</v>
      </c>
      <c r="F3040" t="s">
        <v>4357</v>
      </c>
      <c r="G3040" t="str">
        <f>"201406005577"</f>
        <v>201406005577</v>
      </c>
      <c r="H3040" t="s">
        <v>2257</v>
      </c>
      <c r="I3040">
        <v>0</v>
      </c>
      <c r="J3040">
        <v>30</v>
      </c>
      <c r="K3040">
        <v>0</v>
      </c>
      <c r="L3040">
        <v>0</v>
      </c>
      <c r="M3040">
        <v>0</v>
      </c>
      <c r="N3040">
        <v>0</v>
      </c>
      <c r="O3040">
        <v>0</v>
      </c>
      <c r="P3040">
        <v>0</v>
      </c>
      <c r="Q3040">
        <v>0</v>
      </c>
      <c r="R3040">
        <v>48</v>
      </c>
      <c r="S3040">
        <v>336</v>
      </c>
      <c r="T3040">
        <v>0</v>
      </c>
      <c r="V3040">
        <v>0</v>
      </c>
      <c r="W3040" t="s">
        <v>4358</v>
      </c>
    </row>
    <row r="3041" spans="1:23" x14ac:dyDescent="0.25">
      <c r="H3041">
        <v>703</v>
      </c>
    </row>
    <row r="3042" spans="1:23" x14ac:dyDescent="0.25">
      <c r="A3042">
        <v>1518</v>
      </c>
      <c r="B3042">
        <v>100</v>
      </c>
      <c r="C3042" t="s">
        <v>4359</v>
      </c>
      <c r="D3042" t="s">
        <v>21</v>
      </c>
      <c r="E3042" t="s">
        <v>91</v>
      </c>
      <c r="F3042" t="s">
        <v>4360</v>
      </c>
      <c r="G3042" t="str">
        <f>"201406017208"</f>
        <v>201406017208</v>
      </c>
      <c r="H3042">
        <v>935</v>
      </c>
      <c r="I3042">
        <v>0</v>
      </c>
      <c r="J3042">
        <v>30</v>
      </c>
      <c r="K3042">
        <v>0</v>
      </c>
      <c r="L3042">
        <v>0</v>
      </c>
      <c r="M3042">
        <v>0</v>
      </c>
      <c r="N3042">
        <v>0</v>
      </c>
      <c r="O3042">
        <v>0</v>
      </c>
      <c r="P3042">
        <v>0</v>
      </c>
      <c r="Q3042">
        <v>0</v>
      </c>
      <c r="R3042">
        <v>25</v>
      </c>
      <c r="S3042">
        <v>175</v>
      </c>
      <c r="T3042">
        <v>0</v>
      </c>
      <c r="V3042">
        <v>0</v>
      </c>
      <c r="W3042">
        <v>1140</v>
      </c>
    </row>
    <row r="3043" spans="1:23" x14ac:dyDescent="0.25">
      <c r="H3043">
        <v>703</v>
      </c>
    </row>
    <row r="3044" spans="1:23" x14ac:dyDescent="0.25">
      <c r="A3044">
        <v>1519</v>
      </c>
      <c r="B3044">
        <v>2494</v>
      </c>
      <c r="C3044" t="s">
        <v>4361</v>
      </c>
      <c r="D3044" t="s">
        <v>2997</v>
      </c>
      <c r="E3044" t="s">
        <v>109</v>
      </c>
      <c r="F3044" t="s">
        <v>4362</v>
      </c>
      <c r="G3044" t="str">
        <f>"00229365"</f>
        <v>00229365</v>
      </c>
      <c r="H3044">
        <v>902</v>
      </c>
      <c r="I3044">
        <v>0</v>
      </c>
      <c r="J3044">
        <v>70</v>
      </c>
      <c r="K3044">
        <v>0</v>
      </c>
      <c r="L3044">
        <v>0</v>
      </c>
      <c r="M3044">
        <v>0</v>
      </c>
      <c r="N3044">
        <v>0</v>
      </c>
      <c r="O3044">
        <v>0</v>
      </c>
      <c r="P3044">
        <v>0</v>
      </c>
      <c r="Q3044">
        <v>0</v>
      </c>
      <c r="R3044">
        <v>24</v>
      </c>
      <c r="S3044">
        <v>168</v>
      </c>
      <c r="T3044">
        <v>0</v>
      </c>
      <c r="V3044">
        <v>0</v>
      </c>
      <c r="W3044">
        <v>1140</v>
      </c>
    </row>
    <row r="3045" spans="1:23" x14ac:dyDescent="0.25">
      <c r="H3045">
        <v>703</v>
      </c>
    </row>
    <row r="3046" spans="1:23" x14ac:dyDescent="0.25">
      <c r="A3046">
        <v>1520</v>
      </c>
      <c r="B3046">
        <v>1916</v>
      </c>
      <c r="C3046" t="s">
        <v>4363</v>
      </c>
      <c r="D3046" t="s">
        <v>302</v>
      </c>
      <c r="E3046" t="s">
        <v>156</v>
      </c>
      <c r="F3046" t="s">
        <v>4364</v>
      </c>
      <c r="G3046" t="str">
        <f>"00145677"</f>
        <v>00145677</v>
      </c>
      <c r="H3046">
        <v>803</v>
      </c>
      <c r="I3046">
        <v>0</v>
      </c>
      <c r="J3046">
        <v>50</v>
      </c>
      <c r="K3046">
        <v>0</v>
      </c>
      <c r="L3046">
        <v>0</v>
      </c>
      <c r="M3046">
        <v>0</v>
      </c>
      <c r="N3046">
        <v>0</v>
      </c>
      <c r="O3046">
        <v>0</v>
      </c>
      <c r="P3046">
        <v>0</v>
      </c>
      <c r="Q3046">
        <v>0</v>
      </c>
      <c r="R3046">
        <v>41</v>
      </c>
      <c r="S3046">
        <v>287</v>
      </c>
      <c r="T3046">
        <v>0</v>
      </c>
      <c r="V3046">
        <v>0</v>
      </c>
      <c r="W3046">
        <v>1140</v>
      </c>
    </row>
    <row r="3047" spans="1:23" x14ac:dyDescent="0.25">
      <c r="H3047">
        <v>703</v>
      </c>
    </row>
    <row r="3048" spans="1:23" x14ac:dyDescent="0.25">
      <c r="A3048">
        <v>1521</v>
      </c>
      <c r="B3048">
        <v>2458</v>
      </c>
      <c r="C3048" t="s">
        <v>4365</v>
      </c>
      <c r="D3048" t="s">
        <v>21</v>
      </c>
      <c r="E3048" t="s">
        <v>91</v>
      </c>
      <c r="F3048" t="s">
        <v>4366</v>
      </c>
      <c r="G3048" t="str">
        <f>"200712002294"</f>
        <v>200712002294</v>
      </c>
      <c r="H3048" t="s">
        <v>209</v>
      </c>
      <c r="I3048">
        <v>0</v>
      </c>
      <c r="J3048">
        <v>0</v>
      </c>
      <c r="K3048">
        <v>0</v>
      </c>
      <c r="L3048">
        <v>0</v>
      </c>
      <c r="M3048">
        <v>0</v>
      </c>
      <c r="N3048">
        <v>0</v>
      </c>
      <c r="O3048">
        <v>0</v>
      </c>
      <c r="P3048">
        <v>0</v>
      </c>
      <c r="Q3048">
        <v>0</v>
      </c>
      <c r="R3048">
        <v>8</v>
      </c>
      <c r="S3048">
        <v>56</v>
      </c>
      <c r="T3048">
        <v>0</v>
      </c>
      <c r="V3048">
        <v>0</v>
      </c>
      <c r="W3048" t="s">
        <v>4367</v>
      </c>
    </row>
    <row r="3049" spans="1:23" x14ac:dyDescent="0.25">
      <c r="H3049">
        <v>703</v>
      </c>
    </row>
    <row r="3050" spans="1:23" x14ac:dyDescent="0.25">
      <c r="A3050">
        <v>1522</v>
      </c>
      <c r="B3050">
        <v>1678</v>
      </c>
      <c r="C3050" t="s">
        <v>4368</v>
      </c>
      <c r="D3050" t="s">
        <v>4369</v>
      </c>
      <c r="E3050" t="s">
        <v>91</v>
      </c>
      <c r="F3050" t="s">
        <v>4370</v>
      </c>
      <c r="G3050" t="str">
        <f>"00148169"</f>
        <v>00148169</v>
      </c>
      <c r="H3050" t="s">
        <v>281</v>
      </c>
      <c r="I3050">
        <v>0</v>
      </c>
      <c r="J3050">
        <v>70</v>
      </c>
      <c r="K3050">
        <v>30</v>
      </c>
      <c r="L3050">
        <v>0</v>
      </c>
      <c r="M3050">
        <v>0</v>
      </c>
      <c r="N3050">
        <v>0</v>
      </c>
      <c r="O3050">
        <v>0</v>
      </c>
      <c r="P3050">
        <v>0</v>
      </c>
      <c r="Q3050">
        <v>0</v>
      </c>
      <c r="R3050">
        <v>0</v>
      </c>
      <c r="S3050">
        <v>0</v>
      </c>
      <c r="T3050">
        <v>0</v>
      </c>
      <c r="V3050">
        <v>0</v>
      </c>
      <c r="W3050" t="s">
        <v>4367</v>
      </c>
    </row>
    <row r="3051" spans="1:23" x14ac:dyDescent="0.25">
      <c r="H3051" t="s">
        <v>70</v>
      </c>
    </row>
    <row r="3052" spans="1:23" x14ac:dyDescent="0.25">
      <c r="A3052">
        <v>1523</v>
      </c>
      <c r="B3052">
        <v>1772</v>
      </c>
      <c r="C3052" t="s">
        <v>4371</v>
      </c>
      <c r="D3052" t="s">
        <v>76</v>
      </c>
      <c r="E3052" t="s">
        <v>424</v>
      </c>
      <c r="F3052" t="s">
        <v>4372</v>
      </c>
      <c r="G3052" t="str">
        <f>"00224085"</f>
        <v>00224085</v>
      </c>
      <c r="H3052" t="s">
        <v>1212</v>
      </c>
      <c r="I3052">
        <v>150</v>
      </c>
      <c r="J3052">
        <v>30</v>
      </c>
      <c r="K3052">
        <v>0</v>
      </c>
      <c r="L3052">
        <v>0</v>
      </c>
      <c r="M3052">
        <v>0</v>
      </c>
      <c r="N3052">
        <v>0</v>
      </c>
      <c r="O3052">
        <v>0</v>
      </c>
      <c r="P3052">
        <v>0</v>
      </c>
      <c r="Q3052">
        <v>0</v>
      </c>
      <c r="R3052">
        <v>20</v>
      </c>
      <c r="S3052">
        <v>140</v>
      </c>
      <c r="T3052">
        <v>0</v>
      </c>
      <c r="V3052">
        <v>1</v>
      </c>
      <c r="W3052" t="s">
        <v>4367</v>
      </c>
    </row>
    <row r="3053" spans="1:23" x14ac:dyDescent="0.25">
      <c r="H3053" t="s">
        <v>26</v>
      </c>
    </row>
    <row r="3054" spans="1:23" x14ac:dyDescent="0.25">
      <c r="A3054">
        <v>1524</v>
      </c>
      <c r="B3054">
        <v>2479</v>
      </c>
      <c r="C3054" t="s">
        <v>2188</v>
      </c>
      <c r="D3054" t="s">
        <v>40</v>
      </c>
      <c r="E3054" t="s">
        <v>99</v>
      </c>
      <c r="F3054" t="s">
        <v>4373</v>
      </c>
      <c r="G3054" t="str">
        <f>"00124037"</f>
        <v>00124037</v>
      </c>
      <c r="H3054" t="s">
        <v>270</v>
      </c>
      <c r="I3054">
        <v>0</v>
      </c>
      <c r="J3054">
        <v>70</v>
      </c>
      <c r="K3054">
        <v>0</v>
      </c>
      <c r="L3054">
        <v>30</v>
      </c>
      <c r="M3054">
        <v>0</v>
      </c>
      <c r="N3054">
        <v>0</v>
      </c>
      <c r="O3054">
        <v>0</v>
      </c>
      <c r="P3054">
        <v>0</v>
      </c>
      <c r="Q3054">
        <v>0</v>
      </c>
      <c r="R3054">
        <v>5</v>
      </c>
      <c r="S3054">
        <v>35</v>
      </c>
      <c r="T3054">
        <v>0</v>
      </c>
      <c r="V3054">
        <v>0</v>
      </c>
      <c r="W3054" t="s">
        <v>4374</v>
      </c>
    </row>
    <row r="3055" spans="1:23" x14ac:dyDescent="0.25">
      <c r="H3055" t="s">
        <v>70</v>
      </c>
    </row>
    <row r="3056" spans="1:23" x14ac:dyDescent="0.25">
      <c r="A3056">
        <v>1525</v>
      </c>
      <c r="B3056">
        <v>295</v>
      </c>
      <c r="C3056" t="s">
        <v>4375</v>
      </c>
      <c r="D3056" t="s">
        <v>273</v>
      </c>
      <c r="E3056" t="s">
        <v>91</v>
      </c>
      <c r="F3056" t="s">
        <v>4376</v>
      </c>
      <c r="G3056" t="str">
        <f>"201511031139"</f>
        <v>201511031139</v>
      </c>
      <c r="H3056" t="s">
        <v>583</v>
      </c>
      <c r="I3056">
        <v>150</v>
      </c>
      <c r="J3056">
        <v>30</v>
      </c>
      <c r="K3056">
        <v>0</v>
      </c>
      <c r="L3056">
        <v>0</v>
      </c>
      <c r="M3056">
        <v>0</v>
      </c>
      <c r="N3056">
        <v>0</v>
      </c>
      <c r="O3056">
        <v>0</v>
      </c>
      <c r="P3056">
        <v>0</v>
      </c>
      <c r="Q3056">
        <v>0</v>
      </c>
      <c r="R3056">
        <v>0</v>
      </c>
      <c r="S3056">
        <v>0</v>
      </c>
      <c r="T3056">
        <v>0</v>
      </c>
      <c r="V3056">
        <v>0</v>
      </c>
      <c r="W3056" t="s">
        <v>4377</v>
      </c>
    </row>
    <row r="3057" spans="1:23" x14ac:dyDescent="0.25">
      <c r="H3057">
        <v>703</v>
      </c>
    </row>
    <row r="3058" spans="1:23" x14ac:dyDescent="0.25">
      <c r="A3058">
        <v>1526</v>
      </c>
      <c r="B3058">
        <v>1213</v>
      </c>
      <c r="C3058" t="s">
        <v>3481</v>
      </c>
      <c r="D3058" t="s">
        <v>99</v>
      </c>
      <c r="E3058" t="s">
        <v>37</v>
      </c>
      <c r="F3058" t="s">
        <v>4378</v>
      </c>
      <c r="G3058" t="str">
        <f>"00196091"</f>
        <v>00196091</v>
      </c>
      <c r="H3058">
        <v>946</v>
      </c>
      <c r="I3058">
        <v>0</v>
      </c>
      <c r="J3058">
        <v>30</v>
      </c>
      <c r="K3058">
        <v>0</v>
      </c>
      <c r="L3058">
        <v>30</v>
      </c>
      <c r="M3058">
        <v>0</v>
      </c>
      <c r="N3058">
        <v>0</v>
      </c>
      <c r="O3058">
        <v>0</v>
      </c>
      <c r="P3058">
        <v>0</v>
      </c>
      <c r="Q3058">
        <v>0</v>
      </c>
      <c r="R3058">
        <v>19</v>
      </c>
      <c r="S3058">
        <v>133</v>
      </c>
      <c r="T3058">
        <v>0</v>
      </c>
      <c r="V3058">
        <v>1</v>
      </c>
      <c r="W3058">
        <v>1139</v>
      </c>
    </row>
    <row r="3059" spans="1:23" x14ac:dyDescent="0.25">
      <c r="H3059" t="s">
        <v>26</v>
      </c>
    </row>
    <row r="3060" spans="1:23" x14ac:dyDescent="0.25">
      <c r="A3060">
        <v>1527</v>
      </c>
      <c r="B3060">
        <v>219</v>
      </c>
      <c r="C3060" t="s">
        <v>863</v>
      </c>
      <c r="D3060" t="s">
        <v>4379</v>
      </c>
      <c r="E3060" t="s">
        <v>2687</v>
      </c>
      <c r="F3060" t="s">
        <v>4380</v>
      </c>
      <c r="G3060" t="str">
        <f>"201511011374"</f>
        <v>201511011374</v>
      </c>
      <c r="H3060" t="s">
        <v>1193</v>
      </c>
      <c r="I3060">
        <v>0</v>
      </c>
      <c r="J3060">
        <v>0</v>
      </c>
      <c r="K3060">
        <v>0</v>
      </c>
      <c r="L3060">
        <v>0</v>
      </c>
      <c r="M3060">
        <v>0</v>
      </c>
      <c r="N3060">
        <v>0</v>
      </c>
      <c r="O3060">
        <v>0</v>
      </c>
      <c r="P3060">
        <v>0</v>
      </c>
      <c r="Q3060">
        <v>0</v>
      </c>
      <c r="R3060">
        <v>14</v>
      </c>
      <c r="S3060">
        <v>98</v>
      </c>
      <c r="T3060">
        <v>0</v>
      </c>
      <c r="V3060">
        <v>1</v>
      </c>
      <c r="W3060" t="s">
        <v>4381</v>
      </c>
    </row>
    <row r="3061" spans="1:23" x14ac:dyDescent="0.25">
      <c r="H3061" t="s">
        <v>3689</v>
      </c>
    </row>
    <row r="3062" spans="1:23" x14ac:dyDescent="0.25">
      <c r="A3062">
        <v>1528</v>
      </c>
      <c r="B3062">
        <v>2057</v>
      </c>
      <c r="C3062" t="s">
        <v>4382</v>
      </c>
      <c r="D3062" t="s">
        <v>46</v>
      </c>
      <c r="E3062" t="s">
        <v>53</v>
      </c>
      <c r="F3062" t="s">
        <v>4383</v>
      </c>
      <c r="G3062" t="str">
        <f>"00123580"</f>
        <v>00123580</v>
      </c>
      <c r="H3062" t="s">
        <v>1238</v>
      </c>
      <c r="I3062">
        <v>0</v>
      </c>
      <c r="J3062">
        <v>0</v>
      </c>
      <c r="K3062">
        <v>0</v>
      </c>
      <c r="L3062">
        <v>0</v>
      </c>
      <c r="M3062">
        <v>0</v>
      </c>
      <c r="N3062">
        <v>0</v>
      </c>
      <c r="O3062">
        <v>0</v>
      </c>
      <c r="P3062">
        <v>0</v>
      </c>
      <c r="Q3062">
        <v>0</v>
      </c>
      <c r="R3062">
        <v>36</v>
      </c>
      <c r="S3062">
        <v>252</v>
      </c>
      <c r="T3062">
        <v>0</v>
      </c>
      <c r="V3062">
        <v>0</v>
      </c>
      <c r="W3062" t="s">
        <v>4384</v>
      </c>
    </row>
    <row r="3063" spans="1:23" x14ac:dyDescent="0.25">
      <c r="H3063">
        <v>703</v>
      </c>
    </row>
    <row r="3064" spans="1:23" x14ac:dyDescent="0.25">
      <c r="A3064">
        <v>1529</v>
      </c>
      <c r="B3064">
        <v>2120</v>
      </c>
      <c r="C3064" t="s">
        <v>4385</v>
      </c>
      <c r="D3064" t="s">
        <v>1472</v>
      </c>
      <c r="E3064" t="s">
        <v>105</v>
      </c>
      <c r="F3064" t="s">
        <v>4386</v>
      </c>
      <c r="G3064" t="str">
        <f>"201402007515"</f>
        <v>201402007515</v>
      </c>
      <c r="H3064">
        <v>1067</v>
      </c>
      <c r="I3064">
        <v>0</v>
      </c>
      <c r="J3064">
        <v>70</v>
      </c>
      <c r="K3064">
        <v>0</v>
      </c>
      <c r="L3064">
        <v>0</v>
      </c>
      <c r="M3064">
        <v>0</v>
      </c>
      <c r="N3064">
        <v>0</v>
      </c>
      <c r="O3064">
        <v>0</v>
      </c>
      <c r="P3064">
        <v>0</v>
      </c>
      <c r="Q3064">
        <v>0</v>
      </c>
      <c r="R3064">
        <v>0</v>
      </c>
      <c r="S3064">
        <v>0</v>
      </c>
      <c r="T3064">
        <v>0</v>
      </c>
      <c r="V3064">
        <v>0</v>
      </c>
      <c r="W3064">
        <v>1137</v>
      </c>
    </row>
    <row r="3065" spans="1:23" x14ac:dyDescent="0.25">
      <c r="H3065">
        <v>703</v>
      </c>
    </row>
    <row r="3066" spans="1:23" x14ac:dyDescent="0.25">
      <c r="A3066">
        <v>1530</v>
      </c>
      <c r="B3066">
        <v>1071</v>
      </c>
      <c r="C3066" t="s">
        <v>4387</v>
      </c>
      <c r="D3066" t="s">
        <v>798</v>
      </c>
      <c r="E3066" t="s">
        <v>99</v>
      </c>
      <c r="F3066" t="s">
        <v>4388</v>
      </c>
      <c r="G3066" t="str">
        <f>"201406015146"</f>
        <v>201406015146</v>
      </c>
      <c r="H3066">
        <v>1067</v>
      </c>
      <c r="I3066">
        <v>0</v>
      </c>
      <c r="J3066">
        <v>70</v>
      </c>
      <c r="K3066">
        <v>0</v>
      </c>
      <c r="L3066">
        <v>0</v>
      </c>
      <c r="M3066">
        <v>0</v>
      </c>
      <c r="N3066">
        <v>0</v>
      </c>
      <c r="O3066">
        <v>0</v>
      </c>
      <c r="P3066">
        <v>0</v>
      </c>
      <c r="Q3066">
        <v>0</v>
      </c>
      <c r="R3066">
        <v>0</v>
      </c>
      <c r="S3066">
        <v>0</v>
      </c>
      <c r="T3066">
        <v>0</v>
      </c>
      <c r="V3066">
        <v>0</v>
      </c>
      <c r="W3066">
        <v>1137</v>
      </c>
    </row>
    <row r="3067" spans="1:23" x14ac:dyDescent="0.25">
      <c r="H3067">
        <v>703</v>
      </c>
    </row>
    <row r="3068" spans="1:23" x14ac:dyDescent="0.25">
      <c r="A3068">
        <v>1531</v>
      </c>
      <c r="B3068">
        <v>3206</v>
      </c>
      <c r="C3068" t="s">
        <v>4389</v>
      </c>
      <c r="D3068" t="s">
        <v>273</v>
      </c>
      <c r="E3068" t="s">
        <v>37</v>
      </c>
      <c r="F3068" t="s">
        <v>4390</v>
      </c>
      <c r="G3068" t="str">
        <f>"201511034854"</f>
        <v>201511034854</v>
      </c>
      <c r="H3068" t="s">
        <v>299</v>
      </c>
      <c r="I3068">
        <v>0</v>
      </c>
      <c r="J3068">
        <v>30</v>
      </c>
      <c r="K3068">
        <v>0</v>
      </c>
      <c r="L3068">
        <v>0</v>
      </c>
      <c r="M3068">
        <v>0</v>
      </c>
      <c r="N3068">
        <v>0</v>
      </c>
      <c r="O3068">
        <v>0</v>
      </c>
      <c r="P3068">
        <v>0</v>
      </c>
      <c r="Q3068">
        <v>0</v>
      </c>
      <c r="R3068">
        <v>10</v>
      </c>
      <c r="S3068">
        <v>70</v>
      </c>
      <c r="T3068">
        <v>0</v>
      </c>
      <c r="V3068">
        <v>0</v>
      </c>
      <c r="W3068" t="s">
        <v>4391</v>
      </c>
    </row>
    <row r="3069" spans="1:23" x14ac:dyDescent="0.25">
      <c r="H3069" t="s">
        <v>26</v>
      </c>
    </row>
    <row r="3070" spans="1:23" x14ac:dyDescent="0.25">
      <c r="A3070">
        <v>1532</v>
      </c>
      <c r="B3070">
        <v>1220</v>
      </c>
      <c r="C3070" t="s">
        <v>4392</v>
      </c>
      <c r="D3070" t="s">
        <v>226</v>
      </c>
      <c r="E3070" t="s">
        <v>4393</v>
      </c>
      <c r="F3070" t="s">
        <v>4394</v>
      </c>
      <c r="G3070" t="str">
        <f>"00224678"</f>
        <v>00224678</v>
      </c>
      <c r="H3070" t="s">
        <v>202</v>
      </c>
      <c r="I3070">
        <v>150</v>
      </c>
      <c r="J3070">
        <v>0</v>
      </c>
      <c r="K3070">
        <v>0</v>
      </c>
      <c r="L3070">
        <v>0</v>
      </c>
      <c r="M3070">
        <v>0</v>
      </c>
      <c r="N3070">
        <v>0</v>
      </c>
      <c r="O3070">
        <v>0</v>
      </c>
      <c r="P3070">
        <v>0</v>
      </c>
      <c r="Q3070">
        <v>0</v>
      </c>
      <c r="R3070">
        <v>0</v>
      </c>
      <c r="S3070">
        <v>0</v>
      </c>
      <c r="T3070">
        <v>0</v>
      </c>
      <c r="V3070">
        <v>2</v>
      </c>
      <c r="W3070" t="s">
        <v>4395</v>
      </c>
    </row>
    <row r="3071" spans="1:23" x14ac:dyDescent="0.25">
      <c r="H3071">
        <v>703</v>
      </c>
    </row>
    <row r="3072" spans="1:23" x14ac:dyDescent="0.25">
      <c r="A3072">
        <v>1533</v>
      </c>
      <c r="B3072">
        <v>2984</v>
      </c>
      <c r="C3072" t="s">
        <v>4396</v>
      </c>
      <c r="D3072" t="s">
        <v>577</v>
      </c>
      <c r="E3072" t="s">
        <v>58</v>
      </c>
      <c r="F3072" t="s">
        <v>4397</v>
      </c>
      <c r="G3072" t="str">
        <f>"00226355"</f>
        <v>00226355</v>
      </c>
      <c r="H3072" t="s">
        <v>202</v>
      </c>
      <c r="I3072">
        <v>150</v>
      </c>
      <c r="J3072">
        <v>0</v>
      </c>
      <c r="K3072">
        <v>0</v>
      </c>
      <c r="L3072">
        <v>0</v>
      </c>
      <c r="M3072">
        <v>0</v>
      </c>
      <c r="N3072">
        <v>0</v>
      </c>
      <c r="O3072">
        <v>0</v>
      </c>
      <c r="P3072">
        <v>0</v>
      </c>
      <c r="Q3072">
        <v>0</v>
      </c>
      <c r="R3072">
        <v>0</v>
      </c>
      <c r="S3072">
        <v>0</v>
      </c>
      <c r="T3072">
        <v>0</v>
      </c>
      <c r="V3072">
        <v>1</v>
      </c>
      <c r="W3072" t="s">
        <v>4395</v>
      </c>
    </row>
    <row r="3073" spans="1:23" x14ac:dyDescent="0.25">
      <c r="H3073">
        <v>703</v>
      </c>
    </row>
    <row r="3074" spans="1:23" x14ac:dyDescent="0.25">
      <c r="A3074">
        <v>1534</v>
      </c>
      <c r="B3074">
        <v>442</v>
      </c>
      <c r="C3074" t="s">
        <v>4398</v>
      </c>
      <c r="D3074" t="s">
        <v>4399</v>
      </c>
      <c r="E3074" t="s">
        <v>53</v>
      </c>
      <c r="F3074" t="s">
        <v>4400</v>
      </c>
      <c r="G3074" t="str">
        <f>"200903000258"</f>
        <v>200903000258</v>
      </c>
      <c r="H3074">
        <v>957</v>
      </c>
      <c r="I3074">
        <v>0</v>
      </c>
      <c r="J3074">
        <v>70</v>
      </c>
      <c r="K3074">
        <v>0</v>
      </c>
      <c r="L3074">
        <v>0</v>
      </c>
      <c r="M3074">
        <v>0</v>
      </c>
      <c r="N3074">
        <v>30</v>
      </c>
      <c r="O3074">
        <v>0</v>
      </c>
      <c r="P3074">
        <v>0</v>
      </c>
      <c r="Q3074">
        <v>0</v>
      </c>
      <c r="R3074">
        <v>11</v>
      </c>
      <c r="S3074">
        <v>77</v>
      </c>
      <c r="T3074">
        <v>0</v>
      </c>
      <c r="V3074">
        <v>0</v>
      </c>
      <c r="W3074">
        <v>1134</v>
      </c>
    </row>
    <row r="3075" spans="1:23" x14ac:dyDescent="0.25">
      <c r="H3075" t="s">
        <v>26</v>
      </c>
    </row>
    <row r="3076" spans="1:23" x14ac:dyDescent="0.25">
      <c r="A3076">
        <v>1535</v>
      </c>
      <c r="B3076">
        <v>3041</v>
      </c>
      <c r="C3076" t="s">
        <v>4401</v>
      </c>
      <c r="D3076" t="s">
        <v>344</v>
      </c>
      <c r="E3076" t="s">
        <v>53</v>
      </c>
      <c r="F3076" t="s">
        <v>4402</v>
      </c>
      <c r="G3076" t="str">
        <f>"201504004890"</f>
        <v>201504004890</v>
      </c>
      <c r="H3076">
        <v>858</v>
      </c>
      <c r="I3076">
        <v>150</v>
      </c>
      <c r="J3076">
        <v>70</v>
      </c>
      <c r="K3076">
        <v>0</v>
      </c>
      <c r="L3076">
        <v>0</v>
      </c>
      <c r="M3076">
        <v>0</v>
      </c>
      <c r="N3076">
        <v>0</v>
      </c>
      <c r="O3076">
        <v>0</v>
      </c>
      <c r="P3076">
        <v>0</v>
      </c>
      <c r="Q3076">
        <v>0</v>
      </c>
      <c r="R3076">
        <v>8</v>
      </c>
      <c r="S3076">
        <v>56</v>
      </c>
      <c r="T3076">
        <v>0</v>
      </c>
      <c r="V3076">
        <v>0</v>
      </c>
      <c r="W3076">
        <v>1134</v>
      </c>
    </row>
    <row r="3077" spans="1:23" x14ac:dyDescent="0.25">
      <c r="H3077">
        <v>703</v>
      </c>
    </row>
    <row r="3078" spans="1:23" x14ac:dyDescent="0.25">
      <c r="A3078">
        <v>1536</v>
      </c>
      <c r="B3078">
        <v>2919</v>
      </c>
      <c r="C3078" t="s">
        <v>4403</v>
      </c>
      <c r="D3078" t="s">
        <v>219</v>
      </c>
      <c r="E3078" t="s">
        <v>53</v>
      </c>
      <c r="F3078" t="s">
        <v>4404</v>
      </c>
      <c r="G3078" t="str">
        <f>"00209183"</f>
        <v>00209183</v>
      </c>
      <c r="H3078" t="s">
        <v>662</v>
      </c>
      <c r="I3078">
        <v>0</v>
      </c>
      <c r="J3078">
        <v>30</v>
      </c>
      <c r="K3078">
        <v>0</v>
      </c>
      <c r="L3078">
        <v>0</v>
      </c>
      <c r="M3078">
        <v>0</v>
      </c>
      <c r="N3078">
        <v>0</v>
      </c>
      <c r="O3078">
        <v>0</v>
      </c>
      <c r="P3078">
        <v>0</v>
      </c>
      <c r="Q3078">
        <v>0</v>
      </c>
      <c r="R3078">
        <v>15</v>
      </c>
      <c r="S3078">
        <v>105</v>
      </c>
      <c r="T3078">
        <v>0</v>
      </c>
      <c r="V3078">
        <v>1</v>
      </c>
      <c r="W3078" t="s">
        <v>4405</v>
      </c>
    </row>
    <row r="3079" spans="1:23" x14ac:dyDescent="0.25">
      <c r="H3079">
        <v>703</v>
      </c>
    </row>
    <row r="3080" spans="1:23" x14ac:dyDescent="0.25">
      <c r="A3080">
        <v>1537</v>
      </c>
      <c r="B3080">
        <v>500</v>
      </c>
      <c r="C3080" t="s">
        <v>2079</v>
      </c>
      <c r="D3080" t="s">
        <v>46</v>
      </c>
      <c r="E3080" t="s">
        <v>1273</v>
      </c>
      <c r="F3080" t="s">
        <v>4406</v>
      </c>
      <c r="G3080" t="str">
        <f>"201406001994"</f>
        <v>201406001994</v>
      </c>
      <c r="H3080" t="s">
        <v>142</v>
      </c>
      <c r="I3080">
        <v>0</v>
      </c>
      <c r="J3080">
        <v>30</v>
      </c>
      <c r="K3080">
        <v>0</v>
      </c>
      <c r="L3080">
        <v>0</v>
      </c>
      <c r="M3080">
        <v>0</v>
      </c>
      <c r="N3080">
        <v>0</v>
      </c>
      <c r="O3080">
        <v>0</v>
      </c>
      <c r="P3080">
        <v>0</v>
      </c>
      <c r="Q3080">
        <v>0</v>
      </c>
      <c r="R3080">
        <v>6</v>
      </c>
      <c r="S3080">
        <v>42</v>
      </c>
      <c r="T3080">
        <v>0</v>
      </c>
      <c r="V3080">
        <v>0</v>
      </c>
      <c r="W3080" t="s">
        <v>4407</v>
      </c>
    </row>
    <row r="3081" spans="1:23" x14ac:dyDescent="0.25">
      <c r="H3081">
        <v>703</v>
      </c>
    </row>
    <row r="3082" spans="1:23" x14ac:dyDescent="0.25">
      <c r="A3082">
        <v>1538</v>
      </c>
      <c r="B3082">
        <v>1145</v>
      </c>
      <c r="C3082" t="s">
        <v>4408</v>
      </c>
      <c r="D3082" t="s">
        <v>273</v>
      </c>
      <c r="E3082" t="s">
        <v>91</v>
      </c>
      <c r="F3082" t="s">
        <v>4409</v>
      </c>
      <c r="G3082" t="str">
        <f>"00228930"</f>
        <v>00228930</v>
      </c>
      <c r="H3082" t="s">
        <v>2257</v>
      </c>
      <c r="I3082">
        <v>0</v>
      </c>
      <c r="J3082">
        <v>30</v>
      </c>
      <c r="K3082">
        <v>0</v>
      </c>
      <c r="L3082">
        <v>0</v>
      </c>
      <c r="M3082">
        <v>0</v>
      </c>
      <c r="N3082">
        <v>0</v>
      </c>
      <c r="O3082">
        <v>0</v>
      </c>
      <c r="P3082">
        <v>0</v>
      </c>
      <c r="Q3082">
        <v>0</v>
      </c>
      <c r="R3082">
        <v>47</v>
      </c>
      <c r="S3082">
        <v>329</v>
      </c>
      <c r="T3082">
        <v>0</v>
      </c>
      <c r="V3082">
        <v>0</v>
      </c>
      <c r="W3082" t="s">
        <v>4410</v>
      </c>
    </row>
    <row r="3083" spans="1:23" x14ac:dyDescent="0.25">
      <c r="H3083">
        <v>703</v>
      </c>
    </row>
    <row r="3084" spans="1:23" x14ac:dyDescent="0.25">
      <c r="A3084">
        <v>1539</v>
      </c>
      <c r="B3084">
        <v>742</v>
      </c>
      <c r="C3084" t="s">
        <v>4411</v>
      </c>
      <c r="D3084" t="s">
        <v>40</v>
      </c>
      <c r="E3084" t="s">
        <v>4412</v>
      </c>
      <c r="F3084" t="s">
        <v>4413</v>
      </c>
      <c r="G3084" t="str">
        <f>"201304003899"</f>
        <v>201304003899</v>
      </c>
      <c r="H3084" t="s">
        <v>101</v>
      </c>
      <c r="I3084">
        <v>0</v>
      </c>
      <c r="J3084">
        <v>70</v>
      </c>
      <c r="K3084">
        <v>0</v>
      </c>
      <c r="L3084">
        <v>0</v>
      </c>
      <c r="M3084">
        <v>0</v>
      </c>
      <c r="N3084">
        <v>0</v>
      </c>
      <c r="O3084">
        <v>0</v>
      </c>
      <c r="P3084">
        <v>0</v>
      </c>
      <c r="Q3084">
        <v>0</v>
      </c>
      <c r="R3084">
        <v>0</v>
      </c>
      <c r="S3084">
        <v>0</v>
      </c>
      <c r="T3084">
        <v>0</v>
      </c>
      <c r="V3084">
        <v>0</v>
      </c>
      <c r="W3084" t="s">
        <v>4414</v>
      </c>
    </row>
    <row r="3085" spans="1:23" x14ac:dyDescent="0.25">
      <c r="H3085">
        <v>703</v>
      </c>
    </row>
    <row r="3086" spans="1:23" x14ac:dyDescent="0.25">
      <c r="A3086">
        <v>1540</v>
      </c>
      <c r="B3086">
        <v>2008</v>
      </c>
      <c r="C3086" t="s">
        <v>4415</v>
      </c>
      <c r="D3086" t="s">
        <v>2851</v>
      </c>
      <c r="E3086" t="s">
        <v>76</v>
      </c>
      <c r="F3086" t="s">
        <v>4416</v>
      </c>
      <c r="G3086" t="str">
        <f>"201402011812"</f>
        <v>201402011812</v>
      </c>
      <c r="H3086" t="s">
        <v>237</v>
      </c>
      <c r="I3086">
        <v>0</v>
      </c>
      <c r="J3086">
        <v>70</v>
      </c>
      <c r="K3086">
        <v>0</v>
      </c>
      <c r="L3086">
        <v>0</v>
      </c>
      <c r="M3086">
        <v>0</v>
      </c>
      <c r="N3086">
        <v>0</v>
      </c>
      <c r="O3086">
        <v>0</v>
      </c>
      <c r="P3086">
        <v>0</v>
      </c>
      <c r="Q3086">
        <v>0</v>
      </c>
      <c r="R3086">
        <v>8</v>
      </c>
      <c r="S3086">
        <v>56</v>
      </c>
      <c r="T3086">
        <v>0</v>
      </c>
      <c r="V3086">
        <v>1</v>
      </c>
      <c r="W3086" t="s">
        <v>4417</v>
      </c>
    </row>
    <row r="3087" spans="1:23" x14ac:dyDescent="0.25">
      <c r="H3087">
        <v>703</v>
      </c>
    </row>
    <row r="3088" spans="1:23" x14ac:dyDescent="0.25">
      <c r="A3088">
        <v>1541</v>
      </c>
      <c r="B3088">
        <v>986</v>
      </c>
      <c r="C3088" t="s">
        <v>4418</v>
      </c>
      <c r="D3088" t="s">
        <v>185</v>
      </c>
      <c r="E3088" t="s">
        <v>24</v>
      </c>
      <c r="F3088" t="s">
        <v>4419</v>
      </c>
      <c r="G3088" t="str">
        <f>"201406000361"</f>
        <v>201406000361</v>
      </c>
      <c r="H3088">
        <v>935</v>
      </c>
      <c r="I3088">
        <v>0</v>
      </c>
      <c r="J3088">
        <v>50</v>
      </c>
      <c r="K3088">
        <v>0</v>
      </c>
      <c r="L3088">
        <v>0</v>
      </c>
      <c r="M3088">
        <v>0</v>
      </c>
      <c r="N3088">
        <v>0</v>
      </c>
      <c r="O3088">
        <v>0</v>
      </c>
      <c r="P3088">
        <v>70</v>
      </c>
      <c r="Q3088">
        <v>0</v>
      </c>
      <c r="R3088">
        <v>11</v>
      </c>
      <c r="S3088">
        <v>77</v>
      </c>
      <c r="T3088">
        <v>0</v>
      </c>
      <c r="V3088">
        <v>0</v>
      </c>
      <c r="W3088">
        <v>1132</v>
      </c>
    </row>
    <row r="3089" spans="1:23" x14ac:dyDescent="0.25">
      <c r="H3089" t="s">
        <v>26</v>
      </c>
    </row>
    <row r="3090" spans="1:23" x14ac:dyDescent="0.25">
      <c r="A3090">
        <v>1542</v>
      </c>
      <c r="B3090">
        <v>1915</v>
      </c>
      <c r="C3090" t="s">
        <v>4420</v>
      </c>
      <c r="D3090" t="s">
        <v>3827</v>
      </c>
      <c r="E3090" t="s">
        <v>1818</v>
      </c>
      <c r="F3090" t="s">
        <v>4421</v>
      </c>
      <c r="G3090" t="str">
        <f>"201511038304"</f>
        <v>201511038304</v>
      </c>
      <c r="H3090" t="s">
        <v>142</v>
      </c>
      <c r="I3090">
        <v>0</v>
      </c>
      <c r="J3090">
        <v>70</v>
      </c>
      <c r="K3090">
        <v>0</v>
      </c>
      <c r="L3090">
        <v>0</v>
      </c>
      <c r="M3090">
        <v>0</v>
      </c>
      <c r="N3090">
        <v>0</v>
      </c>
      <c r="O3090">
        <v>0</v>
      </c>
      <c r="P3090">
        <v>0</v>
      </c>
      <c r="Q3090">
        <v>0</v>
      </c>
      <c r="R3090">
        <v>0</v>
      </c>
      <c r="S3090">
        <v>0</v>
      </c>
      <c r="T3090">
        <v>0</v>
      </c>
      <c r="V3090">
        <v>0</v>
      </c>
      <c r="W3090" t="s">
        <v>4422</v>
      </c>
    </row>
    <row r="3091" spans="1:23" x14ac:dyDescent="0.25">
      <c r="H3091">
        <v>703</v>
      </c>
    </row>
    <row r="3092" spans="1:23" x14ac:dyDescent="0.25">
      <c r="A3092">
        <v>1543</v>
      </c>
      <c r="B3092">
        <v>2235</v>
      </c>
      <c r="C3092" t="s">
        <v>4423</v>
      </c>
      <c r="D3092" t="s">
        <v>112</v>
      </c>
      <c r="E3092" t="s">
        <v>79</v>
      </c>
      <c r="F3092" t="s">
        <v>4424</v>
      </c>
      <c r="G3092" t="str">
        <f>"00148322"</f>
        <v>00148322</v>
      </c>
      <c r="H3092" t="s">
        <v>142</v>
      </c>
      <c r="I3092">
        <v>0</v>
      </c>
      <c r="J3092">
        <v>70</v>
      </c>
      <c r="K3092">
        <v>0</v>
      </c>
      <c r="L3092">
        <v>0</v>
      </c>
      <c r="M3092">
        <v>0</v>
      </c>
      <c r="N3092">
        <v>0</v>
      </c>
      <c r="O3092">
        <v>0</v>
      </c>
      <c r="P3092">
        <v>0</v>
      </c>
      <c r="Q3092">
        <v>0</v>
      </c>
      <c r="R3092">
        <v>0</v>
      </c>
      <c r="S3092">
        <v>0</v>
      </c>
      <c r="T3092">
        <v>0</v>
      </c>
      <c r="V3092">
        <v>0</v>
      </c>
      <c r="W3092" t="s">
        <v>4422</v>
      </c>
    </row>
    <row r="3093" spans="1:23" x14ac:dyDescent="0.25">
      <c r="H3093">
        <v>703</v>
      </c>
    </row>
    <row r="3094" spans="1:23" x14ac:dyDescent="0.25">
      <c r="A3094">
        <v>1544</v>
      </c>
      <c r="B3094">
        <v>753</v>
      </c>
      <c r="C3094" t="s">
        <v>4425</v>
      </c>
      <c r="D3094" t="s">
        <v>14</v>
      </c>
      <c r="E3094" t="s">
        <v>21</v>
      </c>
      <c r="F3094" t="s">
        <v>4426</v>
      </c>
      <c r="G3094" t="str">
        <f>"00146825"</f>
        <v>00146825</v>
      </c>
      <c r="H3094" t="s">
        <v>142</v>
      </c>
      <c r="I3094">
        <v>0</v>
      </c>
      <c r="J3094">
        <v>70</v>
      </c>
      <c r="K3094">
        <v>0</v>
      </c>
      <c r="L3094">
        <v>0</v>
      </c>
      <c r="M3094">
        <v>0</v>
      </c>
      <c r="N3094">
        <v>0</v>
      </c>
      <c r="O3094">
        <v>0</v>
      </c>
      <c r="P3094">
        <v>0</v>
      </c>
      <c r="Q3094">
        <v>0</v>
      </c>
      <c r="R3094">
        <v>0</v>
      </c>
      <c r="S3094">
        <v>0</v>
      </c>
      <c r="T3094">
        <v>0</v>
      </c>
      <c r="V3094">
        <v>0</v>
      </c>
      <c r="W3094" t="s">
        <v>4422</v>
      </c>
    </row>
    <row r="3095" spans="1:23" x14ac:dyDescent="0.25">
      <c r="H3095" t="s">
        <v>26</v>
      </c>
    </row>
    <row r="3096" spans="1:23" x14ac:dyDescent="0.25">
      <c r="A3096">
        <v>1545</v>
      </c>
      <c r="B3096">
        <v>901</v>
      </c>
      <c r="C3096" t="s">
        <v>4427</v>
      </c>
      <c r="D3096" t="s">
        <v>722</v>
      </c>
      <c r="E3096" t="s">
        <v>91</v>
      </c>
      <c r="F3096" t="s">
        <v>4428</v>
      </c>
      <c r="G3096" t="str">
        <f>"00014525"</f>
        <v>00014525</v>
      </c>
      <c r="H3096" t="s">
        <v>142</v>
      </c>
      <c r="I3096">
        <v>0</v>
      </c>
      <c r="J3096">
        <v>70</v>
      </c>
      <c r="K3096">
        <v>0</v>
      </c>
      <c r="L3096">
        <v>0</v>
      </c>
      <c r="M3096">
        <v>0</v>
      </c>
      <c r="N3096">
        <v>0</v>
      </c>
      <c r="O3096">
        <v>0</v>
      </c>
      <c r="P3096">
        <v>0</v>
      </c>
      <c r="Q3096">
        <v>0</v>
      </c>
      <c r="R3096">
        <v>0</v>
      </c>
      <c r="S3096">
        <v>0</v>
      </c>
      <c r="T3096">
        <v>0</v>
      </c>
      <c r="V3096">
        <v>0</v>
      </c>
      <c r="W3096" t="s">
        <v>4422</v>
      </c>
    </row>
    <row r="3097" spans="1:23" x14ac:dyDescent="0.25">
      <c r="H3097">
        <v>703</v>
      </c>
    </row>
    <row r="3098" spans="1:23" x14ac:dyDescent="0.25">
      <c r="A3098">
        <v>1546</v>
      </c>
      <c r="B3098">
        <v>582</v>
      </c>
      <c r="C3098" t="s">
        <v>4429</v>
      </c>
      <c r="D3098" t="s">
        <v>4430</v>
      </c>
      <c r="E3098" t="s">
        <v>227</v>
      </c>
      <c r="F3098" t="s">
        <v>4431</v>
      </c>
      <c r="G3098" t="str">
        <f>"00023383"</f>
        <v>00023383</v>
      </c>
      <c r="H3098" t="s">
        <v>177</v>
      </c>
      <c r="I3098">
        <v>0</v>
      </c>
      <c r="J3098">
        <v>0</v>
      </c>
      <c r="K3098">
        <v>0</v>
      </c>
      <c r="L3098">
        <v>0</v>
      </c>
      <c r="M3098">
        <v>50</v>
      </c>
      <c r="N3098">
        <v>0</v>
      </c>
      <c r="O3098">
        <v>0</v>
      </c>
      <c r="P3098">
        <v>0</v>
      </c>
      <c r="Q3098">
        <v>0</v>
      </c>
      <c r="R3098">
        <v>0</v>
      </c>
      <c r="S3098">
        <v>0</v>
      </c>
      <c r="T3098">
        <v>0</v>
      </c>
      <c r="V3098">
        <v>0</v>
      </c>
      <c r="W3098" t="s">
        <v>4432</v>
      </c>
    </row>
    <row r="3099" spans="1:23" x14ac:dyDescent="0.25">
      <c r="H3099">
        <v>703</v>
      </c>
    </row>
    <row r="3100" spans="1:23" x14ac:dyDescent="0.25">
      <c r="A3100">
        <v>1547</v>
      </c>
      <c r="B3100">
        <v>592</v>
      </c>
      <c r="C3100" t="s">
        <v>4433</v>
      </c>
      <c r="D3100" t="s">
        <v>76</v>
      </c>
      <c r="E3100" t="s">
        <v>99</v>
      </c>
      <c r="F3100" t="s">
        <v>4434</v>
      </c>
      <c r="G3100" t="str">
        <f>"201412005117"</f>
        <v>201412005117</v>
      </c>
      <c r="H3100" t="s">
        <v>2824</v>
      </c>
      <c r="I3100">
        <v>150</v>
      </c>
      <c r="J3100">
        <v>0</v>
      </c>
      <c r="K3100">
        <v>0</v>
      </c>
      <c r="L3100">
        <v>0</v>
      </c>
      <c r="M3100">
        <v>0</v>
      </c>
      <c r="N3100">
        <v>0</v>
      </c>
      <c r="O3100">
        <v>0</v>
      </c>
      <c r="P3100">
        <v>0</v>
      </c>
      <c r="Q3100">
        <v>0</v>
      </c>
      <c r="R3100">
        <v>17</v>
      </c>
      <c r="S3100">
        <v>119</v>
      </c>
      <c r="T3100">
        <v>0</v>
      </c>
      <c r="V3100">
        <v>0</v>
      </c>
      <c r="W3100" t="s">
        <v>4435</v>
      </c>
    </row>
    <row r="3101" spans="1:23" x14ac:dyDescent="0.25">
      <c r="H3101">
        <v>703</v>
      </c>
    </row>
    <row r="3102" spans="1:23" x14ac:dyDescent="0.25">
      <c r="A3102">
        <v>1548</v>
      </c>
      <c r="B3102">
        <v>565</v>
      </c>
      <c r="C3102" t="s">
        <v>4436</v>
      </c>
      <c r="D3102" t="s">
        <v>303</v>
      </c>
      <c r="E3102" t="s">
        <v>58</v>
      </c>
      <c r="F3102" t="s">
        <v>4437</v>
      </c>
      <c r="G3102" t="str">
        <f>"201512000642"</f>
        <v>201512000642</v>
      </c>
      <c r="H3102">
        <v>1100</v>
      </c>
      <c r="I3102">
        <v>0</v>
      </c>
      <c r="J3102">
        <v>30</v>
      </c>
      <c r="K3102">
        <v>0</v>
      </c>
      <c r="L3102">
        <v>0</v>
      </c>
      <c r="M3102">
        <v>0</v>
      </c>
      <c r="N3102">
        <v>0</v>
      </c>
      <c r="O3102">
        <v>0</v>
      </c>
      <c r="P3102">
        <v>0</v>
      </c>
      <c r="Q3102">
        <v>0</v>
      </c>
      <c r="R3102">
        <v>0</v>
      </c>
      <c r="S3102">
        <v>0</v>
      </c>
      <c r="T3102">
        <v>0</v>
      </c>
      <c r="V3102">
        <v>0</v>
      </c>
      <c r="W3102">
        <v>1130</v>
      </c>
    </row>
    <row r="3103" spans="1:23" x14ac:dyDescent="0.25">
      <c r="H3103" t="s">
        <v>70</v>
      </c>
    </row>
    <row r="3104" spans="1:23" x14ac:dyDescent="0.25">
      <c r="A3104">
        <v>1549</v>
      </c>
      <c r="B3104">
        <v>2766</v>
      </c>
      <c r="C3104" t="s">
        <v>4438</v>
      </c>
      <c r="D3104" t="s">
        <v>1255</v>
      </c>
      <c r="E3104" t="s">
        <v>33</v>
      </c>
      <c r="F3104" t="s">
        <v>4439</v>
      </c>
      <c r="G3104" t="str">
        <f>"00224550"</f>
        <v>00224550</v>
      </c>
      <c r="H3104">
        <v>979</v>
      </c>
      <c r="I3104">
        <v>150</v>
      </c>
      <c r="J3104">
        <v>0</v>
      </c>
      <c r="K3104">
        <v>0</v>
      </c>
      <c r="L3104">
        <v>0</v>
      </c>
      <c r="M3104">
        <v>0</v>
      </c>
      <c r="N3104">
        <v>0</v>
      </c>
      <c r="O3104">
        <v>0</v>
      </c>
      <c r="P3104">
        <v>0</v>
      </c>
      <c r="Q3104">
        <v>0</v>
      </c>
      <c r="R3104">
        <v>0</v>
      </c>
      <c r="S3104">
        <v>0</v>
      </c>
      <c r="T3104">
        <v>0</v>
      </c>
      <c r="V3104">
        <v>0</v>
      </c>
      <c r="W3104">
        <v>1129</v>
      </c>
    </row>
    <row r="3105" spans="1:23" x14ac:dyDescent="0.25">
      <c r="H3105">
        <v>703</v>
      </c>
    </row>
    <row r="3106" spans="1:23" x14ac:dyDescent="0.25">
      <c r="A3106">
        <v>1550</v>
      </c>
      <c r="B3106">
        <v>2112</v>
      </c>
      <c r="C3106" t="s">
        <v>4440</v>
      </c>
      <c r="D3106" t="s">
        <v>4055</v>
      </c>
      <c r="E3106" t="s">
        <v>91</v>
      </c>
      <c r="F3106" t="s">
        <v>4441</v>
      </c>
      <c r="G3106" t="str">
        <f>"200802006218"</f>
        <v>200802006218</v>
      </c>
      <c r="H3106" t="s">
        <v>187</v>
      </c>
      <c r="I3106">
        <v>0</v>
      </c>
      <c r="J3106">
        <v>70</v>
      </c>
      <c r="K3106">
        <v>0</v>
      </c>
      <c r="L3106">
        <v>30</v>
      </c>
      <c r="M3106">
        <v>0</v>
      </c>
      <c r="N3106">
        <v>0</v>
      </c>
      <c r="O3106">
        <v>0</v>
      </c>
      <c r="P3106">
        <v>0</v>
      </c>
      <c r="Q3106">
        <v>0</v>
      </c>
      <c r="R3106">
        <v>0</v>
      </c>
      <c r="S3106">
        <v>0</v>
      </c>
      <c r="T3106">
        <v>0</v>
      </c>
      <c r="V3106">
        <v>0</v>
      </c>
      <c r="W3106" t="s">
        <v>4442</v>
      </c>
    </row>
    <row r="3107" spans="1:23" x14ac:dyDescent="0.25">
      <c r="H3107" t="s">
        <v>70</v>
      </c>
    </row>
    <row r="3108" spans="1:23" x14ac:dyDescent="0.25">
      <c r="A3108">
        <v>1551</v>
      </c>
      <c r="B3108">
        <v>1039</v>
      </c>
      <c r="C3108" t="s">
        <v>4396</v>
      </c>
      <c r="D3108" t="s">
        <v>87</v>
      </c>
      <c r="E3108" t="s">
        <v>3214</v>
      </c>
      <c r="F3108" t="s">
        <v>4443</v>
      </c>
      <c r="G3108" t="str">
        <f>"200712002471"</f>
        <v>200712002471</v>
      </c>
      <c r="H3108" t="s">
        <v>1238</v>
      </c>
      <c r="I3108">
        <v>150</v>
      </c>
      <c r="J3108">
        <v>30</v>
      </c>
      <c r="K3108">
        <v>0</v>
      </c>
      <c r="L3108">
        <v>0</v>
      </c>
      <c r="M3108">
        <v>0</v>
      </c>
      <c r="N3108">
        <v>0</v>
      </c>
      <c r="O3108">
        <v>0</v>
      </c>
      <c r="P3108">
        <v>0</v>
      </c>
      <c r="Q3108">
        <v>0</v>
      </c>
      <c r="R3108">
        <v>9</v>
      </c>
      <c r="S3108">
        <v>63</v>
      </c>
      <c r="T3108">
        <v>0</v>
      </c>
      <c r="V3108">
        <v>0</v>
      </c>
      <c r="W3108" t="s">
        <v>4442</v>
      </c>
    </row>
    <row r="3109" spans="1:23" x14ac:dyDescent="0.25">
      <c r="H3109">
        <v>703</v>
      </c>
    </row>
    <row r="3110" spans="1:23" x14ac:dyDescent="0.25">
      <c r="A3110">
        <v>1552</v>
      </c>
      <c r="B3110">
        <v>2896</v>
      </c>
      <c r="C3110" t="s">
        <v>4444</v>
      </c>
      <c r="D3110" t="s">
        <v>76</v>
      </c>
      <c r="E3110" t="s">
        <v>109</v>
      </c>
      <c r="F3110" t="s">
        <v>4445</v>
      </c>
      <c r="G3110" t="str">
        <f>"201406007150"</f>
        <v>201406007150</v>
      </c>
      <c r="H3110">
        <v>946</v>
      </c>
      <c r="I3110">
        <v>0</v>
      </c>
      <c r="J3110">
        <v>70</v>
      </c>
      <c r="K3110">
        <v>0</v>
      </c>
      <c r="L3110">
        <v>0</v>
      </c>
      <c r="M3110">
        <v>0</v>
      </c>
      <c r="N3110">
        <v>0</v>
      </c>
      <c r="O3110">
        <v>0</v>
      </c>
      <c r="P3110">
        <v>0</v>
      </c>
      <c r="Q3110">
        <v>0</v>
      </c>
      <c r="R3110">
        <v>16</v>
      </c>
      <c r="S3110">
        <v>112</v>
      </c>
      <c r="T3110">
        <v>0</v>
      </c>
      <c r="V3110">
        <v>0</v>
      </c>
      <c r="W3110">
        <v>1128</v>
      </c>
    </row>
    <row r="3111" spans="1:23" x14ac:dyDescent="0.25">
      <c r="H3111">
        <v>703</v>
      </c>
    </row>
    <row r="3112" spans="1:23" x14ac:dyDescent="0.25">
      <c r="A3112">
        <v>1553</v>
      </c>
      <c r="B3112">
        <v>102</v>
      </c>
      <c r="C3112" t="s">
        <v>4446</v>
      </c>
      <c r="D3112" t="s">
        <v>53</v>
      </c>
      <c r="E3112" t="s">
        <v>99</v>
      </c>
      <c r="F3112" t="s">
        <v>4447</v>
      </c>
      <c r="G3112" t="str">
        <f>"00225305"</f>
        <v>00225305</v>
      </c>
      <c r="H3112">
        <v>605</v>
      </c>
      <c r="I3112">
        <v>150</v>
      </c>
      <c r="J3112">
        <v>30</v>
      </c>
      <c r="K3112">
        <v>0</v>
      </c>
      <c r="L3112">
        <v>0</v>
      </c>
      <c r="M3112">
        <v>0</v>
      </c>
      <c r="N3112">
        <v>0</v>
      </c>
      <c r="O3112">
        <v>0</v>
      </c>
      <c r="P3112">
        <v>0</v>
      </c>
      <c r="Q3112">
        <v>0</v>
      </c>
      <c r="R3112">
        <v>49</v>
      </c>
      <c r="S3112">
        <v>343</v>
      </c>
      <c r="T3112">
        <v>0</v>
      </c>
      <c r="V3112">
        <v>0</v>
      </c>
      <c r="W3112">
        <v>1128</v>
      </c>
    </row>
    <row r="3113" spans="1:23" x14ac:dyDescent="0.25">
      <c r="H3113">
        <v>703</v>
      </c>
    </row>
    <row r="3114" spans="1:23" x14ac:dyDescent="0.25">
      <c r="A3114">
        <v>1554</v>
      </c>
      <c r="B3114">
        <v>2761</v>
      </c>
      <c r="C3114" t="s">
        <v>2675</v>
      </c>
      <c r="D3114" t="s">
        <v>610</v>
      </c>
      <c r="E3114" t="s">
        <v>109</v>
      </c>
      <c r="F3114" t="s">
        <v>4448</v>
      </c>
      <c r="G3114" t="str">
        <f>"201412000185"</f>
        <v>201412000185</v>
      </c>
      <c r="H3114" t="s">
        <v>101</v>
      </c>
      <c r="I3114">
        <v>0</v>
      </c>
      <c r="J3114">
        <v>30</v>
      </c>
      <c r="K3114">
        <v>0</v>
      </c>
      <c r="L3114">
        <v>0</v>
      </c>
      <c r="M3114">
        <v>0</v>
      </c>
      <c r="N3114">
        <v>0</v>
      </c>
      <c r="O3114">
        <v>0</v>
      </c>
      <c r="P3114">
        <v>0</v>
      </c>
      <c r="Q3114">
        <v>0</v>
      </c>
      <c r="R3114">
        <v>5</v>
      </c>
      <c r="S3114">
        <v>35</v>
      </c>
      <c r="T3114">
        <v>0</v>
      </c>
      <c r="V3114">
        <v>0</v>
      </c>
      <c r="W3114" t="s">
        <v>4449</v>
      </c>
    </row>
    <row r="3115" spans="1:23" x14ac:dyDescent="0.25">
      <c r="H3115">
        <v>703</v>
      </c>
    </row>
    <row r="3116" spans="1:23" x14ac:dyDescent="0.25">
      <c r="A3116">
        <v>1555</v>
      </c>
      <c r="B3116">
        <v>143</v>
      </c>
      <c r="C3116" t="s">
        <v>1977</v>
      </c>
      <c r="D3116" t="s">
        <v>610</v>
      </c>
      <c r="E3116" t="s">
        <v>62</v>
      </c>
      <c r="F3116" t="s">
        <v>4450</v>
      </c>
      <c r="G3116" t="str">
        <f>"00014930"</f>
        <v>00014930</v>
      </c>
      <c r="H3116">
        <v>1067</v>
      </c>
      <c r="I3116">
        <v>0</v>
      </c>
      <c r="J3116">
        <v>30</v>
      </c>
      <c r="K3116">
        <v>0</v>
      </c>
      <c r="L3116">
        <v>30</v>
      </c>
      <c r="M3116">
        <v>0</v>
      </c>
      <c r="N3116">
        <v>0</v>
      </c>
      <c r="O3116">
        <v>0</v>
      </c>
      <c r="P3116">
        <v>0</v>
      </c>
      <c r="Q3116">
        <v>0</v>
      </c>
      <c r="R3116">
        <v>0</v>
      </c>
      <c r="S3116">
        <v>0</v>
      </c>
      <c r="T3116">
        <v>0</v>
      </c>
      <c r="V3116">
        <v>0</v>
      </c>
      <c r="W3116">
        <v>1127</v>
      </c>
    </row>
    <row r="3117" spans="1:23" x14ac:dyDescent="0.25">
      <c r="H3117" t="s">
        <v>70</v>
      </c>
    </row>
    <row r="3118" spans="1:23" x14ac:dyDescent="0.25">
      <c r="A3118">
        <v>1556</v>
      </c>
      <c r="B3118">
        <v>3209</v>
      </c>
      <c r="C3118" t="s">
        <v>3803</v>
      </c>
      <c r="D3118" t="s">
        <v>1255</v>
      </c>
      <c r="E3118" t="s">
        <v>24</v>
      </c>
      <c r="F3118" t="s">
        <v>4451</v>
      </c>
      <c r="G3118" t="str">
        <f>"00012807"</f>
        <v>00012807</v>
      </c>
      <c r="H3118">
        <v>957</v>
      </c>
      <c r="I3118">
        <v>0</v>
      </c>
      <c r="J3118">
        <v>70</v>
      </c>
      <c r="K3118">
        <v>0</v>
      </c>
      <c r="L3118">
        <v>0</v>
      </c>
      <c r="M3118">
        <v>30</v>
      </c>
      <c r="N3118">
        <v>0</v>
      </c>
      <c r="O3118">
        <v>0</v>
      </c>
      <c r="P3118">
        <v>70</v>
      </c>
      <c r="Q3118">
        <v>0</v>
      </c>
      <c r="R3118">
        <v>0</v>
      </c>
      <c r="S3118">
        <v>0</v>
      </c>
      <c r="T3118">
        <v>0</v>
      </c>
      <c r="V3118">
        <v>0</v>
      </c>
      <c r="W3118">
        <v>1127</v>
      </c>
    </row>
    <row r="3119" spans="1:23" x14ac:dyDescent="0.25">
      <c r="H3119" t="s">
        <v>70</v>
      </c>
    </row>
    <row r="3120" spans="1:23" x14ac:dyDescent="0.25">
      <c r="A3120">
        <v>1557</v>
      </c>
      <c r="B3120">
        <v>1741</v>
      </c>
      <c r="C3120" t="s">
        <v>1313</v>
      </c>
      <c r="D3120" t="s">
        <v>155</v>
      </c>
      <c r="E3120" t="s">
        <v>53</v>
      </c>
      <c r="F3120" t="s">
        <v>4452</v>
      </c>
      <c r="G3120" t="str">
        <f>"00011043"</f>
        <v>00011043</v>
      </c>
      <c r="H3120">
        <v>726</v>
      </c>
      <c r="I3120">
        <v>0</v>
      </c>
      <c r="J3120">
        <v>70</v>
      </c>
      <c r="K3120">
        <v>0</v>
      </c>
      <c r="L3120">
        <v>30</v>
      </c>
      <c r="M3120">
        <v>0</v>
      </c>
      <c r="N3120">
        <v>0</v>
      </c>
      <c r="O3120">
        <v>0</v>
      </c>
      <c r="P3120">
        <v>0</v>
      </c>
      <c r="Q3120">
        <v>0</v>
      </c>
      <c r="R3120">
        <v>43</v>
      </c>
      <c r="S3120">
        <v>301</v>
      </c>
      <c r="T3120">
        <v>0</v>
      </c>
      <c r="V3120">
        <v>0</v>
      </c>
      <c r="W3120">
        <v>1127</v>
      </c>
    </row>
    <row r="3121" spans="1:23" x14ac:dyDescent="0.25">
      <c r="H3121" t="s">
        <v>70</v>
      </c>
    </row>
    <row r="3122" spans="1:23" x14ac:dyDescent="0.25">
      <c r="A3122">
        <v>1558</v>
      </c>
      <c r="B3122">
        <v>3190</v>
      </c>
      <c r="C3122" t="s">
        <v>4453</v>
      </c>
      <c r="D3122" t="s">
        <v>4454</v>
      </c>
      <c r="E3122" t="s">
        <v>4455</v>
      </c>
      <c r="F3122" t="s">
        <v>4456</v>
      </c>
      <c r="G3122" t="str">
        <f>"00221883"</f>
        <v>00221883</v>
      </c>
      <c r="H3122" t="s">
        <v>232</v>
      </c>
      <c r="I3122">
        <v>0</v>
      </c>
      <c r="J3122">
        <v>50</v>
      </c>
      <c r="K3122">
        <v>0</v>
      </c>
      <c r="L3122">
        <v>0</v>
      </c>
      <c r="M3122">
        <v>0</v>
      </c>
      <c r="N3122">
        <v>0</v>
      </c>
      <c r="O3122">
        <v>0</v>
      </c>
      <c r="P3122">
        <v>0</v>
      </c>
      <c r="Q3122">
        <v>0</v>
      </c>
      <c r="R3122">
        <v>0</v>
      </c>
      <c r="S3122">
        <v>0</v>
      </c>
      <c r="T3122">
        <v>0</v>
      </c>
      <c r="V3122">
        <v>0</v>
      </c>
      <c r="W3122" t="s">
        <v>4457</v>
      </c>
    </row>
    <row r="3123" spans="1:23" x14ac:dyDescent="0.25">
      <c r="H3123">
        <v>703</v>
      </c>
    </row>
    <row r="3124" spans="1:23" x14ac:dyDescent="0.25">
      <c r="A3124">
        <v>1559</v>
      </c>
      <c r="B3124">
        <v>1046</v>
      </c>
      <c r="C3124" t="s">
        <v>4458</v>
      </c>
      <c r="D3124" t="s">
        <v>109</v>
      </c>
      <c r="E3124" t="s">
        <v>1147</v>
      </c>
      <c r="F3124" t="s">
        <v>4459</v>
      </c>
      <c r="G3124" t="str">
        <f>"200802002812"</f>
        <v>200802002812</v>
      </c>
      <c r="H3124" t="s">
        <v>4460</v>
      </c>
      <c r="I3124">
        <v>0</v>
      </c>
      <c r="J3124">
        <v>70</v>
      </c>
      <c r="K3124">
        <v>0</v>
      </c>
      <c r="L3124">
        <v>0</v>
      </c>
      <c r="M3124">
        <v>30</v>
      </c>
      <c r="N3124">
        <v>30</v>
      </c>
      <c r="O3124">
        <v>0</v>
      </c>
      <c r="P3124">
        <v>0</v>
      </c>
      <c r="Q3124">
        <v>0</v>
      </c>
      <c r="R3124">
        <v>0</v>
      </c>
      <c r="S3124">
        <v>0</v>
      </c>
      <c r="T3124">
        <v>0</v>
      </c>
      <c r="V3124">
        <v>0</v>
      </c>
      <c r="W3124" t="s">
        <v>4461</v>
      </c>
    </row>
    <row r="3125" spans="1:23" x14ac:dyDescent="0.25">
      <c r="H3125" t="s">
        <v>70</v>
      </c>
    </row>
    <row r="3126" spans="1:23" x14ac:dyDescent="0.25">
      <c r="A3126">
        <v>1560</v>
      </c>
      <c r="B3126">
        <v>591</v>
      </c>
      <c r="C3126" t="s">
        <v>4462</v>
      </c>
      <c r="D3126" t="s">
        <v>112</v>
      </c>
      <c r="E3126" t="s">
        <v>53</v>
      </c>
      <c r="F3126" t="s">
        <v>4463</v>
      </c>
      <c r="G3126" t="str">
        <f>"00187942"</f>
        <v>00187942</v>
      </c>
      <c r="H3126" t="s">
        <v>237</v>
      </c>
      <c r="I3126">
        <v>0</v>
      </c>
      <c r="J3126">
        <v>70</v>
      </c>
      <c r="K3126">
        <v>0</v>
      </c>
      <c r="L3126">
        <v>50</v>
      </c>
      <c r="M3126">
        <v>0</v>
      </c>
      <c r="N3126">
        <v>0</v>
      </c>
      <c r="O3126">
        <v>0</v>
      </c>
      <c r="P3126">
        <v>0</v>
      </c>
      <c r="Q3126">
        <v>0</v>
      </c>
      <c r="R3126">
        <v>0</v>
      </c>
      <c r="S3126">
        <v>0</v>
      </c>
      <c r="T3126">
        <v>0</v>
      </c>
      <c r="V3126">
        <v>0</v>
      </c>
      <c r="W3126" t="s">
        <v>4464</v>
      </c>
    </row>
    <row r="3127" spans="1:23" x14ac:dyDescent="0.25">
      <c r="H3127" t="s">
        <v>70</v>
      </c>
    </row>
    <row r="3128" spans="1:23" x14ac:dyDescent="0.25">
      <c r="A3128">
        <v>1561</v>
      </c>
      <c r="B3128">
        <v>648</v>
      </c>
      <c r="C3128" t="s">
        <v>4465</v>
      </c>
      <c r="D3128" t="s">
        <v>350</v>
      </c>
      <c r="E3128" t="s">
        <v>15</v>
      </c>
      <c r="F3128" t="s">
        <v>4466</v>
      </c>
      <c r="G3128" t="str">
        <f>"201406013667"</f>
        <v>201406013667</v>
      </c>
      <c r="H3128" t="s">
        <v>4467</v>
      </c>
      <c r="I3128">
        <v>150</v>
      </c>
      <c r="J3128">
        <v>70</v>
      </c>
      <c r="K3128">
        <v>0</v>
      </c>
      <c r="L3128">
        <v>0</v>
      </c>
      <c r="M3128">
        <v>0</v>
      </c>
      <c r="N3128">
        <v>0</v>
      </c>
      <c r="O3128">
        <v>0</v>
      </c>
      <c r="P3128">
        <v>0</v>
      </c>
      <c r="Q3128">
        <v>0</v>
      </c>
      <c r="R3128">
        <v>36</v>
      </c>
      <c r="S3128">
        <v>252</v>
      </c>
      <c r="T3128">
        <v>0</v>
      </c>
      <c r="V3128">
        <v>2</v>
      </c>
      <c r="W3128" t="s">
        <v>4464</v>
      </c>
    </row>
    <row r="3129" spans="1:23" x14ac:dyDescent="0.25">
      <c r="H3129">
        <v>703</v>
      </c>
    </row>
    <row r="3130" spans="1:23" x14ac:dyDescent="0.25">
      <c r="A3130">
        <v>1562</v>
      </c>
      <c r="B3130">
        <v>2373</v>
      </c>
      <c r="C3130" t="s">
        <v>4468</v>
      </c>
      <c r="D3130" t="s">
        <v>501</v>
      </c>
      <c r="E3130" t="s">
        <v>113</v>
      </c>
      <c r="F3130" t="s">
        <v>4469</v>
      </c>
      <c r="G3130" t="str">
        <f>"201406019073"</f>
        <v>201406019073</v>
      </c>
      <c r="H3130">
        <v>1056</v>
      </c>
      <c r="I3130">
        <v>0</v>
      </c>
      <c r="J3130">
        <v>70</v>
      </c>
      <c r="K3130">
        <v>0</v>
      </c>
      <c r="L3130">
        <v>0</v>
      </c>
      <c r="M3130">
        <v>0</v>
      </c>
      <c r="N3130">
        <v>0</v>
      </c>
      <c r="O3130">
        <v>0</v>
      </c>
      <c r="P3130">
        <v>0</v>
      </c>
      <c r="Q3130">
        <v>0</v>
      </c>
      <c r="R3130">
        <v>0</v>
      </c>
      <c r="S3130">
        <v>0</v>
      </c>
      <c r="T3130">
        <v>0</v>
      </c>
      <c r="V3130">
        <v>0</v>
      </c>
      <c r="W3130">
        <v>1126</v>
      </c>
    </row>
    <row r="3131" spans="1:23" x14ac:dyDescent="0.25">
      <c r="H3131">
        <v>703</v>
      </c>
    </row>
    <row r="3132" spans="1:23" x14ac:dyDescent="0.25">
      <c r="A3132">
        <v>1563</v>
      </c>
      <c r="B3132">
        <v>2941</v>
      </c>
      <c r="C3132" t="s">
        <v>4470</v>
      </c>
      <c r="D3132" t="s">
        <v>892</v>
      </c>
      <c r="E3132" t="s">
        <v>91</v>
      </c>
      <c r="F3132" t="s">
        <v>4471</v>
      </c>
      <c r="G3132" t="str">
        <f>"201406001093"</f>
        <v>201406001093</v>
      </c>
      <c r="H3132">
        <v>1056</v>
      </c>
      <c r="I3132">
        <v>0</v>
      </c>
      <c r="J3132">
        <v>70</v>
      </c>
      <c r="K3132">
        <v>0</v>
      </c>
      <c r="L3132">
        <v>0</v>
      </c>
      <c r="M3132">
        <v>0</v>
      </c>
      <c r="N3132">
        <v>0</v>
      </c>
      <c r="O3132">
        <v>0</v>
      </c>
      <c r="P3132">
        <v>0</v>
      </c>
      <c r="Q3132">
        <v>0</v>
      </c>
      <c r="R3132">
        <v>0</v>
      </c>
      <c r="S3132">
        <v>0</v>
      </c>
      <c r="T3132">
        <v>0</v>
      </c>
      <c r="V3132">
        <v>0</v>
      </c>
      <c r="W3132">
        <v>1126</v>
      </c>
    </row>
    <row r="3133" spans="1:23" x14ac:dyDescent="0.25">
      <c r="H3133">
        <v>703</v>
      </c>
    </row>
    <row r="3134" spans="1:23" x14ac:dyDescent="0.25">
      <c r="A3134">
        <v>1564</v>
      </c>
      <c r="B3134">
        <v>2218</v>
      </c>
      <c r="C3134" t="s">
        <v>4472</v>
      </c>
      <c r="D3134" t="s">
        <v>185</v>
      </c>
      <c r="E3134" t="s">
        <v>24</v>
      </c>
      <c r="F3134" t="s">
        <v>4473</v>
      </c>
      <c r="G3134" t="str">
        <f>"00230055"</f>
        <v>00230055</v>
      </c>
      <c r="H3134">
        <v>1056</v>
      </c>
      <c r="I3134">
        <v>0</v>
      </c>
      <c r="J3134">
        <v>70</v>
      </c>
      <c r="K3134">
        <v>0</v>
      </c>
      <c r="L3134">
        <v>0</v>
      </c>
      <c r="M3134">
        <v>0</v>
      </c>
      <c r="N3134">
        <v>0</v>
      </c>
      <c r="O3134">
        <v>0</v>
      </c>
      <c r="P3134">
        <v>0</v>
      </c>
      <c r="Q3134">
        <v>0</v>
      </c>
      <c r="R3134">
        <v>0</v>
      </c>
      <c r="S3134">
        <v>0</v>
      </c>
      <c r="T3134">
        <v>0</v>
      </c>
      <c r="V3134">
        <v>0</v>
      </c>
      <c r="W3134">
        <v>1126</v>
      </c>
    </row>
    <row r="3135" spans="1:23" x14ac:dyDescent="0.25">
      <c r="H3135">
        <v>703</v>
      </c>
    </row>
    <row r="3136" spans="1:23" x14ac:dyDescent="0.25">
      <c r="A3136">
        <v>1565</v>
      </c>
      <c r="B3136">
        <v>1484</v>
      </c>
      <c r="C3136" t="s">
        <v>2967</v>
      </c>
      <c r="D3136" t="s">
        <v>4474</v>
      </c>
      <c r="E3136" t="s">
        <v>99</v>
      </c>
      <c r="F3136" t="s">
        <v>4475</v>
      </c>
      <c r="G3136" t="str">
        <f>"00145753"</f>
        <v>00145753</v>
      </c>
      <c r="H3136">
        <v>1056</v>
      </c>
      <c r="I3136">
        <v>0</v>
      </c>
      <c r="J3136">
        <v>70</v>
      </c>
      <c r="K3136">
        <v>0</v>
      </c>
      <c r="L3136">
        <v>0</v>
      </c>
      <c r="M3136">
        <v>0</v>
      </c>
      <c r="N3136">
        <v>0</v>
      </c>
      <c r="O3136">
        <v>0</v>
      </c>
      <c r="P3136">
        <v>0</v>
      </c>
      <c r="Q3136">
        <v>0</v>
      </c>
      <c r="R3136">
        <v>0</v>
      </c>
      <c r="S3136">
        <v>0</v>
      </c>
      <c r="T3136">
        <v>0</v>
      </c>
      <c r="V3136">
        <v>1</v>
      </c>
      <c r="W3136">
        <v>1126</v>
      </c>
    </row>
    <row r="3137" spans="1:23" x14ac:dyDescent="0.25">
      <c r="H3137" t="s">
        <v>26</v>
      </c>
    </row>
    <row r="3138" spans="1:23" x14ac:dyDescent="0.25">
      <c r="A3138">
        <v>1566</v>
      </c>
      <c r="B3138">
        <v>283</v>
      </c>
      <c r="C3138" t="s">
        <v>4476</v>
      </c>
      <c r="D3138" t="s">
        <v>67</v>
      </c>
      <c r="E3138" t="s">
        <v>109</v>
      </c>
      <c r="F3138" t="s">
        <v>4477</v>
      </c>
      <c r="G3138" t="str">
        <f>"201412001156"</f>
        <v>201412001156</v>
      </c>
      <c r="H3138" t="s">
        <v>17</v>
      </c>
      <c r="I3138">
        <v>0</v>
      </c>
      <c r="J3138">
        <v>30</v>
      </c>
      <c r="K3138">
        <v>0</v>
      </c>
      <c r="L3138">
        <v>0</v>
      </c>
      <c r="M3138">
        <v>0</v>
      </c>
      <c r="N3138">
        <v>0</v>
      </c>
      <c r="O3138">
        <v>0</v>
      </c>
      <c r="P3138">
        <v>0</v>
      </c>
      <c r="Q3138">
        <v>0</v>
      </c>
      <c r="R3138">
        <v>0</v>
      </c>
      <c r="S3138">
        <v>0</v>
      </c>
      <c r="T3138">
        <v>0</v>
      </c>
      <c r="V3138">
        <v>0</v>
      </c>
      <c r="W3138" t="s">
        <v>4478</v>
      </c>
    </row>
    <row r="3139" spans="1:23" x14ac:dyDescent="0.25">
      <c r="H3139">
        <v>703</v>
      </c>
    </row>
    <row r="3140" spans="1:23" x14ac:dyDescent="0.25">
      <c r="A3140">
        <v>1567</v>
      </c>
      <c r="B3140">
        <v>1705</v>
      </c>
      <c r="C3140" t="s">
        <v>4479</v>
      </c>
      <c r="D3140" t="s">
        <v>392</v>
      </c>
      <c r="E3140" t="s">
        <v>24</v>
      </c>
      <c r="F3140" t="s">
        <v>4480</v>
      </c>
      <c r="G3140" t="str">
        <f>"00145563"</f>
        <v>00145563</v>
      </c>
      <c r="H3140">
        <v>1034</v>
      </c>
      <c r="I3140">
        <v>0</v>
      </c>
      <c r="J3140">
        <v>30</v>
      </c>
      <c r="K3140">
        <v>0</v>
      </c>
      <c r="L3140">
        <v>0</v>
      </c>
      <c r="M3140">
        <v>30</v>
      </c>
      <c r="N3140">
        <v>0</v>
      </c>
      <c r="O3140">
        <v>0</v>
      </c>
      <c r="P3140">
        <v>30</v>
      </c>
      <c r="Q3140">
        <v>0</v>
      </c>
      <c r="R3140">
        <v>0</v>
      </c>
      <c r="S3140">
        <v>0</v>
      </c>
      <c r="T3140">
        <v>0</v>
      </c>
      <c r="V3140">
        <v>2</v>
      </c>
      <c r="W3140">
        <v>1124</v>
      </c>
    </row>
    <row r="3141" spans="1:23" x14ac:dyDescent="0.25">
      <c r="H3141" t="s">
        <v>70</v>
      </c>
    </row>
    <row r="3142" spans="1:23" x14ac:dyDescent="0.25">
      <c r="A3142">
        <v>1568</v>
      </c>
      <c r="B3142">
        <v>2585</v>
      </c>
      <c r="C3142" t="s">
        <v>4481</v>
      </c>
      <c r="D3142" t="s">
        <v>4482</v>
      </c>
      <c r="E3142" t="s">
        <v>1147</v>
      </c>
      <c r="F3142" t="s">
        <v>4483</v>
      </c>
      <c r="G3142" t="str">
        <f>"00131066"</f>
        <v>00131066</v>
      </c>
      <c r="H3142">
        <v>935</v>
      </c>
      <c r="I3142">
        <v>0</v>
      </c>
      <c r="J3142">
        <v>70</v>
      </c>
      <c r="K3142">
        <v>0</v>
      </c>
      <c r="L3142">
        <v>0</v>
      </c>
      <c r="M3142">
        <v>0</v>
      </c>
      <c r="N3142">
        <v>0</v>
      </c>
      <c r="O3142">
        <v>0</v>
      </c>
      <c r="P3142">
        <v>0</v>
      </c>
      <c r="Q3142">
        <v>0</v>
      </c>
      <c r="R3142">
        <v>17</v>
      </c>
      <c r="S3142">
        <v>119</v>
      </c>
      <c r="T3142">
        <v>0</v>
      </c>
      <c r="V3142">
        <v>0</v>
      </c>
      <c r="W3142">
        <v>1124</v>
      </c>
    </row>
    <row r="3143" spans="1:23" x14ac:dyDescent="0.25">
      <c r="H3143" t="s">
        <v>70</v>
      </c>
    </row>
    <row r="3144" spans="1:23" x14ac:dyDescent="0.25">
      <c r="A3144">
        <v>1569</v>
      </c>
      <c r="B3144">
        <v>1493</v>
      </c>
      <c r="C3144" t="s">
        <v>4484</v>
      </c>
      <c r="D3144" t="s">
        <v>20</v>
      </c>
      <c r="E3144" t="s">
        <v>41</v>
      </c>
      <c r="F3144" t="s">
        <v>4485</v>
      </c>
      <c r="G3144" t="str">
        <f>"00081376"</f>
        <v>00081376</v>
      </c>
      <c r="H3144" t="s">
        <v>1359</v>
      </c>
      <c r="I3144">
        <v>150</v>
      </c>
      <c r="J3144">
        <v>30</v>
      </c>
      <c r="K3144">
        <v>0</v>
      </c>
      <c r="L3144">
        <v>0</v>
      </c>
      <c r="M3144">
        <v>0</v>
      </c>
      <c r="N3144">
        <v>0</v>
      </c>
      <c r="O3144">
        <v>0</v>
      </c>
      <c r="P3144">
        <v>0</v>
      </c>
      <c r="Q3144">
        <v>0</v>
      </c>
      <c r="R3144">
        <v>13</v>
      </c>
      <c r="S3144">
        <v>91</v>
      </c>
      <c r="T3144">
        <v>0</v>
      </c>
      <c r="V3144">
        <v>0</v>
      </c>
      <c r="W3144" t="s">
        <v>4486</v>
      </c>
    </row>
    <row r="3145" spans="1:23" x14ac:dyDescent="0.25">
      <c r="H3145">
        <v>703</v>
      </c>
    </row>
    <row r="3146" spans="1:23" x14ac:dyDescent="0.25">
      <c r="A3146">
        <v>1570</v>
      </c>
      <c r="B3146">
        <v>1432</v>
      </c>
      <c r="C3146" t="s">
        <v>335</v>
      </c>
      <c r="D3146" t="s">
        <v>1415</v>
      </c>
      <c r="E3146" t="s">
        <v>2997</v>
      </c>
      <c r="F3146" t="s">
        <v>4487</v>
      </c>
      <c r="G3146" t="str">
        <f>"00159761"</f>
        <v>00159761</v>
      </c>
      <c r="H3146">
        <v>825</v>
      </c>
      <c r="I3146">
        <v>150</v>
      </c>
      <c r="J3146">
        <v>70</v>
      </c>
      <c r="K3146">
        <v>0</v>
      </c>
      <c r="L3146">
        <v>0</v>
      </c>
      <c r="M3146">
        <v>0</v>
      </c>
      <c r="N3146">
        <v>0</v>
      </c>
      <c r="O3146">
        <v>0</v>
      </c>
      <c r="P3146">
        <v>0</v>
      </c>
      <c r="Q3146">
        <v>0</v>
      </c>
      <c r="R3146">
        <v>11</v>
      </c>
      <c r="S3146">
        <v>77</v>
      </c>
      <c r="T3146">
        <v>0</v>
      </c>
      <c r="V3146">
        <v>2</v>
      </c>
      <c r="W3146">
        <v>1122</v>
      </c>
    </row>
    <row r="3147" spans="1:23" x14ac:dyDescent="0.25">
      <c r="H3147">
        <v>703</v>
      </c>
    </row>
    <row r="3148" spans="1:23" x14ac:dyDescent="0.25">
      <c r="A3148">
        <v>1571</v>
      </c>
      <c r="B3148">
        <v>616</v>
      </c>
      <c r="C3148" t="s">
        <v>4488</v>
      </c>
      <c r="D3148" t="s">
        <v>273</v>
      </c>
      <c r="E3148" t="s">
        <v>53</v>
      </c>
      <c r="F3148" t="s">
        <v>4489</v>
      </c>
      <c r="G3148" t="str">
        <f>"201411002860"</f>
        <v>201411002860</v>
      </c>
      <c r="H3148" t="s">
        <v>833</v>
      </c>
      <c r="I3148">
        <v>150</v>
      </c>
      <c r="J3148">
        <v>30</v>
      </c>
      <c r="K3148">
        <v>0</v>
      </c>
      <c r="L3148">
        <v>0</v>
      </c>
      <c r="M3148">
        <v>0</v>
      </c>
      <c r="N3148">
        <v>0</v>
      </c>
      <c r="O3148">
        <v>0</v>
      </c>
      <c r="P3148">
        <v>0</v>
      </c>
      <c r="Q3148">
        <v>0</v>
      </c>
      <c r="R3148">
        <v>0</v>
      </c>
      <c r="S3148">
        <v>0</v>
      </c>
      <c r="T3148">
        <v>0</v>
      </c>
      <c r="V3148">
        <v>0</v>
      </c>
      <c r="W3148" t="s">
        <v>4490</v>
      </c>
    </row>
    <row r="3149" spans="1:23" x14ac:dyDescent="0.25">
      <c r="H3149">
        <v>703</v>
      </c>
    </row>
    <row r="3150" spans="1:23" x14ac:dyDescent="0.25">
      <c r="A3150">
        <v>1572</v>
      </c>
      <c r="B3150">
        <v>2133</v>
      </c>
      <c r="C3150" t="s">
        <v>4491</v>
      </c>
      <c r="D3150" t="s">
        <v>392</v>
      </c>
      <c r="E3150" t="s">
        <v>2050</v>
      </c>
      <c r="F3150" t="s">
        <v>4492</v>
      </c>
      <c r="G3150" t="str">
        <f>"00229597"</f>
        <v>00229597</v>
      </c>
      <c r="H3150">
        <v>1089</v>
      </c>
      <c r="I3150">
        <v>0</v>
      </c>
      <c r="J3150">
        <v>30</v>
      </c>
      <c r="K3150">
        <v>0</v>
      </c>
      <c r="L3150">
        <v>0</v>
      </c>
      <c r="M3150">
        <v>0</v>
      </c>
      <c r="N3150">
        <v>0</v>
      </c>
      <c r="O3150">
        <v>0</v>
      </c>
      <c r="P3150">
        <v>0</v>
      </c>
      <c r="Q3150">
        <v>0</v>
      </c>
      <c r="R3150">
        <v>0</v>
      </c>
      <c r="S3150">
        <v>0</v>
      </c>
      <c r="T3150">
        <v>0</v>
      </c>
      <c r="V3150">
        <v>0</v>
      </c>
      <c r="W3150">
        <v>1119</v>
      </c>
    </row>
    <row r="3151" spans="1:23" x14ac:dyDescent="0.25">
      <c r="H3151">
        <v>703</v>
      </c>
    </row>
    <row r="3152" spans="1:23" x14ac:dyDescent="0.25">
      <c r="A3152">
        <v>1573</v>
      </c>
      <c r="B3152">
        <v>3018</v>
      </c>
      <c r="C3152" t="s">
        <v>4493</v>
      </c>
      <c r="D3152" t="s">
        <v>4494</v>
      </c>
      <c r="E3152" t="s">
        <v>4495</v>
      </c>
      <c r="F3152" t="s">
        <v>4496</v>
      </c>
      <c r="G3152" t="str">
        <f>"201412004755"</f>
        <v>201412004755</v>
      </c>
      <c r="H3152" t="s">
        <v>465</v>
      </c>
      <c r="I3152">
        <v>0</v>
      </c>
      <c r="J3152">
        <v>70</v>
      </c>
      <c r="K3152">
        <v>0</v>
      </c>
      <c r="L3152">
        <v>0</v>
      </c>
      <c r="M3152">
        <v>0</v>
      </c>
      <c r="N3152">
        <v>30</v>
      </c>
      <c r="O3152">
        <v>0</v>
      </c>
      <c r="P3152">
        <v>0</v>
      </c>
      <c r="Q3152">
        <v>0</v>
      </c>
      <c r="R3152">
        <v>8</v>
      </c>
      <c r="S3152">
        <v>56</v>
      </c>
      <c r="T3152">
        <v>0</v>
      </c>
      <c r="V3152">
        <v>0</v>
      </c>
      <c r="W3152" t="s">
        <v>4497</v>
      </c>
    </row>
    <row r="3153" spans="1:23" x14ac:dyDescent="0.25">
      <c r="H3153" t="s">
        <v>70</v>
      </c>
    </row>
    <row r="3154" spans="1:23" x14ac:dyDescent="0.25">
      <c r="A3154">
        <v>1574</v>
      </c>
      <c r="B3154">
        <v>1170</v>
      </c>
      <c r="C3154" t="s">
        <v>4498</v>
      </c>
      <c r="D3154" t="s">
        <v>4499</v>
      </c>
      <c r="E3154" t="s">
        <v>76</v>
      </c>
      <c r="F3154" t="s">
        <v>4500</v>
      </c>
      <c r="G3154" t="str">
        <f>"00173746"</f>
        <v>00173746</v>
      </c>
      <c r="H3154" t="s">
        <v>1212</v>
      </c>
      <c r="I3154">
        <v>150</v>
      </c>
      <c r="J3154">
        <v>30</v>
      </c>
      <c r="K3154">
        <v>0</v>
      </c>
      <c r="L3154">
        <v>0</v>
      </c>
      <c r="M3154">
        <v>0</v>
      </c>
      <c r="N3154">
        <v>0</v>
      </c>
      <c r="O3154">
        <v>0</v>
      </c>
      <c r="P3154">
        <v>0</v>
      </c>
      <c r="Q3154">
        <v>0</v>
      </c>
      <c r="R3154">
        <v>17</v>
      </c>
      <c r="S3154">
        <v>119</v>
      </c>
      <c r="T3154">
        <v>0</v>
      </c>
      <c r="V3154">
        <v>0</v>
      </c>
      <c r="W3154" t="s">
        <v>4497</v>
      </c>
    </row>
    <row r="3155" spans="1:23" x14ac:dyDescent="0.25">
      <c r="H3155">
        <v>703</v>
      </c>
    </row>
    <row r="3156" spans="1:23" x14ac:dyDescent="0.25">
      <c r="A3156">
        <v>1575</v>
      </c>
      <c r="B3156">
        <v>1791</v>
      </c>
      <c r="C3156" t="s">
        <v>4501</v>
      </c>
      <c r="D3156" t="s">
        <v>273</v>
      </c>
      <c r="E3156" t="s">
        <v>91</v>
      </c>
      <c r="F3156" t="s">
        <v>4502</v>
      </c>
      <c r="G3156" t="str">
        <f>"201406014858"</f>
        <v>201406014858</v>
      </c>
      <c r="H3156" t="s">
        <v>840</v>
      </c>
      <c r="I3156">
        <v>0</v>
      </c>
      <c r="J3156">
        <v>30</v>
      </c>
      <c r="K3156">
        <v>0</v>
      </c>
      <c r="L3156">
        <v>0</v>
      </c>
      <c r="M3156">
        <v>0</v>
      </c>
      <c r="N3156">
        <v>0</v>
      </c>
      <c r="O3156">
        <v>0</v>
      </c>
      <c r="P3156">
        <v>0</v>
      </c>
      <c r="Q3156">
        <v>0</v>
      </c>
      <c r="R3156">
        <v>24</v>
      </c>
      <c r="S3156">
        <v>168</v>
      </c>
      <c r="T3156">
        <v>0</v>
      </c>
      <c r="V3156">
        <v>0</v>
      </c>
      <c r="W3156" t="s">
        <v>4503</v>
      </c>
    </row>
    <row r="3157" spans="1:23" x14ac:dyDescent="0.25">
      <c r="H3157">
        <v>703</v>
      </c>
    </row>
    <row r="3158" spans="1:23" x14ac:dyDescent="0.25">
      <c r="A3158">
        <v>1576</v>
      </c>
      <c r="B3158">
        <v>1489</v>
      </c>
      <c r="C3158" t="s">
        <v>4504</v>
      </c>
      <c r="D3158" t="s">
        <v>1633</v>
      </c>
      <c r="E3158" t="s">
        <v>91</v>
      </c>
      <c r="F3158" t="s">
        <v>4505</v>
      </c>
      <c r="G3158" t="str">
        <f>"201502001694"</f>
        <v>201502001694</v>
      </c>
      <c r="H3158">
        <v>836</v>
      </c>
      <c r="I3158">
        <v>0</v>
      </c>
      <c r="J3158">
        <v>70</v>
      </c>
      <c r="K3158">
        <v>0</v>
      </c>
      <c r="L3158">
        <v>0</v>
      </c>
      <c r="M3158">
        <v>0</v>
      </c>
      <c r="N3158">
        <v>0</v>
      </c>
      <c r="O3158">
        <v>0</v>
      </c>
      <c r="P3158">
        <v>0</v>
      </c>
      <c r="Q3158">
        <v>0</v>
      </c>
      <c r="R3158">
        <v>30</v>
      </c>
      <c r="S3158">
        <v>210</v>
      </c>
      <c r="T3158">
        <v>0</v>
      </c>
      <c r="V3158">
        <v>0</v>
      </c>
      <c r="W3158">
        <v>1116</v>
      </c>
    </row>
    <row r="3159" spans="1:23" x14ac:dyDescent="0.25">
      <c r="H3159" t="s">
        <v>26</v>
      </c>
    </row>
    <row r="3160" spans="1:23" x14ac:dyDescent="0.25">
      <c r="A3160">
        <v>1577</v>
      </c>
      <c r="B3160">
        <v>566</v>
      </c>
      <c r="C3160" t="s">
        <v>4506</v>
      </c>
      <c r="D3160" t="s">
        <v>2180</v>
      </c>
      <c r="E3160" t="s">
        <v>424</v>
      </c>
      <c r="F3160" t="s">
        <v>4507</v>
      </c>
      <c r="G3160" t="str">
        <f>"200802000925"</f>
        <v>200802000925</v>
      </c>
      <c r="H3160" t="s">
        <v>2526</v>
      </c>
      <c r="I3160">
        <v>0</v>
      </c>
      <c r="J3160">
        <v>0</v>
      </c>
      <c r="K3160">
        <v>0</v>
      </c>
      <c r="L3160">
        <v>0</v>
      </c>
      <c r="M3160">
        <v>0</v>
      </c>
      <c r="N3160">
        <v>0</v>
      </c>
      <c r="O3160">
        <v>0</v>
      </c>
      <c r="P3160">
        <v>0</v>
      </c>
      <c r="Q3160">
        <v>0</v>
      </c>
      <c r="R3160">
        <v>38</v>
      </c>
      <c r="S3160">
        <v>266</v>
      </c>
      <c r="T3160">
        <v>0</v>
      </c>
      <c r="V3160">
        <v>2</v>
      </c>
      <c r="W3160" t="s">
        <v>4508</v>
      </c>
    </row>
    <row r="3161" spans="1:23" x14ac:dyDescent="0.25">
      <c r="H3161">
        <v>703</v>
      </c>
    </row>
    <row r="3162" spans="1:23" x14ac:dyDescent="0.25">
      <c r="A3162">
        <v>1578</v>
      </c>
      <c r="B3162">
        <v>380</v>
      </c>
      <c r="C3162" t="s">
        <v>4509</v>
      </c>
      <c r="D3162" t="s">
        <v>28</v>
      </c>
      <c r="E3162" t="s">
        <v>76</v>
      </c>
      <c r="F3162" t="s">
        <v>4510</v>
      </c>
      <c r="G3162" t="str">
        <f>"00196979"</f>
        <v>00196979</v>
      </c>
      <c r="H3162">
        <v>1045</v>
      </c>
      <c r="I3162">
        <v>0</v>
      </c>
      <c r="J3162">
        <v>70</v>
      </c>
      <c r="K3162">
        <v>0</v>
      </c>
      <c r="L3162">
        <v>0</v>
      </c>
      <c r="M3162">
        <v>0</v>
      </c>
      <c r="N3162">
        <v>0</v>
      </c>
      <c r="O3162">
        <v>0</v>
      </c>
      <c r="P3162">
        <v>0</v>
      </c>
      <c r="Q3162">
        <v>0</v>
      </c>
      <c r="R3162">
        <v>0</v>
      </c>
      <c r="S3162">
        <v>0</v>
      </c>
      <c r="T3162">
        <v>0</v>
      </c>
      <c r="V3162">
        <v>0</v>
      </c>
      <c r="W3162">
        <v>1115</v>
      </c>
    </row>
    <row r="3163" spans="1:23" x14ac:dyDescent="0.25">
      <c r="H3163">
        <v>703</v>
      </c>
    </row>
    <row r="3164" spans="1:23" x14ac:dyDescent="0.25">
      <c r="A3164">
        <v>1579</v>
      </c>
      <c r="B3164">
        <v>2962</v>
      </c>
      <c r="C3164" t="s">
        <v>4511</v>
      </c>
      <c r="D3164" t="s">
        <v>444</v>
      </c>
      <c r="E3164" t="s">
        <v>4512</v>
      </c>
      <c r="F3164" t="s">
        <v>4513</v>
      </c>
      <c r="G3164" t="str">
        <f>"00114721"</f>
        <v>00114721</v>
      </c>
      <c r="H3164">
        <v>1045</v>
      </c>
      <c r="I3164">
        <v>0</v>
      </c>
      <c r="J3164">
        <v>70</v>
      </c>
      <c r="K3164">
        <v>0</v>
      </c>
      <c r="L3164">
        <v>0</v>
      </c>
      <c r="M3164">
        <v>0</v>
      </c>
      <c r="N3164">
        <v>0</v>
      </c>
      <c r="O3164">
        <v>0</v>
      </c>
      <c r="P3164">
        <v>0</v>
      </c>
      <c r="Q3164">
        <v>0</v>
      </c>
      <c r="R3164">
        <v>0</v>
      </c>
      <c r="S3164">
        <v>0</v>
      </c>
      <c r="T3164">
        <v>0</v>
      </c>
      <c r="V3164">
        <v>0</v>
      </c>
      <c r="W3164">
        <v>1115</v>
      </c>
    </row>
    <row r="3165" spans="1:23" x14ac:dyDescent="0.25">
      <c r="H3165">
        <v>703</v>
      </c>
    </row>
    <row r="3166" spans="1:23" x14ac:dyDescent="0.25">
      <c r="A3166">
        <v>1580</v>
      </c>
      <c r="B3166">
        <v>469</v>
      </c>
      <c r="C3166" t="s">
        <v>4514</v>
      </c>
      <c r="D3166" t="s">
        <v>432</v>
      </c>
      <c r="E3166" t="s">
        <v>752</v>
      </c>
      <c r="F3166" t="s">
        <v>4515</v>
      </c>
      <c r="G3166" t="str">
        <f>"00201433"</f>
        <v>00201433</v>
      </c>
      <c r="H3166">
        <v>1045</v>
      </c>
      <c r="I3166">
        <v>0</v>
      </c>
      <c r="J3166">
        <v>70</v>
      </c>
      <c r="K3166">
        <v>0</v>
      </c>
      <c r="L3166">
        <v>0</v>
      </c>
      <c r="M3166">
        <v>0</v>
      </c>
      <c r="N3166">
        <v>0</v>
      </c>
      <c r="O3166">
        <v>0</v>
      </c>
      <c r="P3166">
        <v>0</v>
      </c>
      <c r="Q3166">
        <v>0</v>
      </c>
      <c r="R3166">
        <v>0</v>
      </c>
      <c r="S3166">
        <v>0</v>
      </c>
      <c r="T3166">
        <v>0</v>
      </c>
      <c r="V3166">
        <v>0</v>
      </c>
      <c r="W3166">
        <v>1115</v>
      </c>
    </row>
    <row r="3167" spans="1:23" x14ac:dyDescent="0.25">
      <c r="H3167">
        <v>703</v>
      </c>
    </row>
    <row r="3168" spans="1:23" x14ac:dyDescent="0.25">
      <c r="A3168">
        <v>1581</v>
      </c>
      <c r="B3168">
        <v>3081</v>
      </c>
      <c r="C3168" t="s">
        <v>493</v>
      </c>
      <c r="D3168" t="s">
        <v>2851</v>
      </c>
      <c r="E3168" t="s">
        <v>105</v>
      </c>
      <c r="F3168" t="s">
        <v>4516</v>
      </c>
      <c r="G3168" t="str">
        <f>"00227501"</f>
        <v>00227501</v>
      </c>
      <c r="H3168">
        <v>1045</v>
      </c>
      <c r="I3168">
        <v>0</v>
      </c>
      <c r="J3168">
        <v>70</v>
      </c>
      <c r="K3168">
        <v>0</v>
      </c>
      <c r="L3168">
        <v>0</v>
      </c>
      <c r="M3168">
        <v>0</v>
      </c>
      <c r="N3168">
        <v>0</v>
      </c>
      <c r="O3168">
        <v>0</v>
      </c>
      <c r="P3168">
        <v>0</v>
      </c>
      <c r="Q3168">
        <v>0</v>
      </c>
      <c r="R3168">
        <v>0</v>
      </c>
      <c r="S3168">
        <v>0</v>
      </c>
      <c r="T3168">
        <v>0</v>
      </c>
      <c r="V3168">
        <v>0</v>
      </c>
      <c r="W3168">
        <v>1115</v>
      </c>
    </row>
    <row r="3169" spans="1:23" x14ac:dyDescent="0.25">
      <c r="H3169" t="s">
        <v>26</v>
      </c>
    </row>
    <row r="3170" spans="1:23" x14ac:dyDescent="0.25">
      <c r="A3170">
        <v>1582</v>
      </c>
      <c r="B3170">
        <v>1675</v>
      </c>
      <c r="C3170" t="s">
        <v>4517</v>
      </c>
      <c r="D3170" t="s">
        <v>4518</v>
      </c>
      <c r="E3170" t="s">
        <v>15</v>
      </c>
      <c r="F3170" t="s">
        <v>4519</v>
      </c>
      <c r="G3170" t="str">
        <f>"201502000516"</f>
        <v>201502000516</v>
      </c>
      <c r="H3170">
        <v>1045</v>
      </c>
      <c r="I3170">
        <v>0</v>
      </c>
      <c r="J3170">
        <v>70</v>
      </c>
      <c r="K3170">
        <v>0</v>
      </c>
      <c r="L3170">
        <v>0</v>
      </c>
      <c r="M3170">
        <v>0</v>
      </c>
      <c r="N3170">
        <v>0</v>
      </c>
      <c r="O3170">
        <v>0</v>
      </c>
      <c r="P3170">
        <v>0</v>
      </c>
      <c r="Q3170">
        <v>0</v>
      </c>
      <c r="R3170">
        <v>0</v>
      </c>
      <c r="S3170">
        <v>0</v>
      </c>
      <c r="T3170">
        <v>0</v>
      </c>
      <c r="V3170">
        <v>1</v>
      </c>
      <c r="W3170">
        <v>1115</v>
      </c>
    </row>
    <row r="3171" spans="1:23" x14ac:dyDescent="0.25">
      <c r="H3171" t="s">
        <v>26</v>
      </c>
    </row>
    <row r="3172" spans="1:23" x14ac:dyDescent="0.25">
      <c r="A3172">
        <v>1583</v>
      </c>
      <c r="B3172">
        <v>1979</v>
      </c>
      <c r="C3172" t="s">
        <v>4520</v>
      </c>
      <c r="D3172" t="s">
        <v>219</v>
      </c>
      <c r="E3172" t="s">
        <v>4521</v>
      </c>
      <c r="F3172" t="s">
        <v>4522</v>
      </c>
      <c r="G3172" t="str">
        <f>"201511015829"</f>
        <v>201511015829</v>
      </c>
      <c r="H3172">
        <v>935</v>
      </c>
      <c r="I3172">
        <v>150</v>
      </c>
      <c r="J3172">
        <v>30</v>
      </c>
      <c r="K3172">
        <v>0</v>
      </c>
      <c r="L3172">
        <v>0</v>
      </c>
      <c r="M3172">
        <v>0</v>
      </c>
      <c r="N3172">
        <v>0</v>
      </c>
      <c r="O3172">
        <v>0</v>
      </c>
      <c r="P3172">
        <v>0</v>
      </c>
      <c r="Q3172">
        <v>0</v>
      </c>
      <c r="R3172">
        <v>0</v>
      </c>
      <c r="S3172">
        <v>0</v>
      </c>
      <c r="T3172">
        <v>0</v>
      </c>
      <c r="V3172">
        <v>0</v>
      </c>
      <c r="W3172">
        <v>1115</v>
      </c>
    </row>
    <row r="3173" spans="1:23" x14ac:dyDescent="0.25">
      <c r="H3173" t="s">
        <v>26</v>
      </c>
    </row>
    <row r="3174" spans="1:23" x14ac:dyDescent="0.25">
      <c r="A3174">
        <v>1584</v>
      </c>
      <c r="B3174">
        <v>823</v>
      </c>
      <c r="C3174" t="s">
        <v>1313</v>
      </c>
      <c r="D3174" t="s">
        <v>4523</v>
      </c>
      <c r="E3174" t="s">
        <v>109</v>
      </c>
      <c r="F3174" t="s">
        <v>4524</v>
      </c>
      <c r="G3174" t="str">
        <f>"00202890"</f>
        <v>00202890</v>
      </c>
      <c r="H3174">
        <v>924</v>
      </c>
      <c r="I3174">
        <v>0</v>
      </c>
      <c r="J3174">
        <v>30</v>
      </c>
      <c r="K3174">
        <v>70</v>
      </c>
      <c r="L3174">
        <v>0</v>
      </c>
      <c r="M3174">
        <v>0</v>
      </c>
      <c r="N3174">
        <v>0</v>
      </c>
      <c r="O3174">
        <v>0</v>
      </c>
      <c r="P3174">
        <v>0</v>
      </c>
      <c r="Q3174">
        <v>0</v>
      </c>
      <c r="R3174">
        <v>13</v>
      </c>
      <c r="S3174">
        <v>91</v>
      </c>
      <c r="T3174">
        <v>0</v>
      </c>
      <c r="V3174">
        <v>0</v>
      </c>
      <c r="W3174">
        <v>1115</v>
      </c>
    </row>
    <row r="3175" spans="1:23" x14ac:dyDescent="0.25">
      <c r="H3175" t="s">
        <v>70</v>
      </c>
    </row>
    <row r="3176" spans="1:23" x14ac:dyDescent="0.25">
      <c r="A3176">
        <v>1585</v>
      </c>
      <c r="B3176">
        <v>2486</v>
      </c>
      <c r="C3176" t="s">
        <v>4525</v>
      </c>
      <c r="D3176" t="s">
        <v>219</v>
      </c>
      <c r="E3176" t="s">
        <v>109</v>
      </c>
      <c r="F3176" t="s">
        <v>4526</v>
      </c>
      <c r="G3176" t="str">
        <f>"201511038465"</f>
        <v>201511038465</v>
      </c>
      <c r="H3176">
        <v>880</v>
      </c>
      <c r="I3176">
        <v>0</v>
      </c>
      <c r="J3176">
        <v>70</v>
      </c>
      <c r="K3176">
        <v>30</v>
      </c>
      <c r="L3176">
        <v>0</v>
      </c>
      <c r="M3176">
        <v>30</v>
      </c>
      <c r="N3176">
        <v>0</v>
      </c>
      <c r="O3176">
        <v>0</v>
      </c>
      <c r="P3176">
        <v>0</v>
      </c>
      <c r="Q3176">
        <v>0</v>
      </c>
      <c r="R3176">
        <v>15</v>
      </c>
      <c r="S3176">
        <v>105</v>
      </c>
      <c r="T3176">
        <v>0</v>
      </c>
      <c r="V3176">
        <v>0</v>
      </c>
      <c r="W3176">
        <v>1115</v>
      </c>
    </row>
    <row r="3177" spans="1:23" x14ac:dyDescent="0.25">
      <c r="H3177" t="s">
        <v>70</v>
      </c>
    </row>
    <row r="3178" spans="1:23" x14ac:dyDescent="0.25">
      <c r="A3178">
        <v>1586</v>
      </c>
      <c r="B3178">
        <v>1731</v>
      </c>
      <c r="C3178" t="s">
        <v>4527</v>
      </c>
      <c r="D3178" t="s">
        <v>392</v>
      </c>
      <c r="E3178" t="s">
        <v>523</v>
      </c>
      <c r="F3178" t="s">
        <v>4528</v>
      </c>
      <c r="G3178" t="str">
        <f>"201406004442"</f>
        <v>201406004442</v>
      </c>
      <c r="H3178" t="s">
        <v>93</v>
      </c>
      <c r="I3178">
        <v>0</v>
      </c>
      <c r="J3178">
        <v>30</v>
      </c>
      <c r="K3178">
        <v>0</v>
      </c>
      <c r="L3178">
        <v>0</v>
      </c>
      <c r="M3178">
        <v>0</v>
      </c>
      <c r="N3178">
        <v>0</v>
      </c>
      <c r="O3178">
        <v>0</v>
      </c>
      <c r="P3178">
        <v>0</v>
      </c>
      <c r="Q3178">
        <v>0</v>
      </c>
      <c r="R3178">
        <v>0</v>
      </c>
      <c r="S3178">
        <v>0</v>
      </c>
      <c r="T3178">
        <v>0</v>
      </c>
      <c r="V3178">
        <v>0</v>
      </c>
      <c r="W3178" t="s">
        <v>4529</v>
      </c>
    </row>
    <row r="3179" spans="1:23" x14ac:dyDescent="0.25">
      <c r="H3179" t="s">
        <v>26</v>
      </c>
    </row>
    <row r="3180" spans="1:23" x14ac:dyDescent="0.25">
      <c r="A3180">
        <v>1587</v>
      </c>
      <c r="B3180">
        <v>545</v>
      </c>
      <c r="C3180" t="s">
        <v>4530</v>
      </c>
      <c r="D3180" t="s">
        <v>273</v>
      </c>
      <c r="E3180" t="s">
        <v>109</v>
      </c>
      <c r="F3180" t="s">
        <v>4531</v>
      </c>
      <c r="G3180" t="str">
        <f>"201511025280"</f>
        <v>201511025280</v>
      </c>
      <c r="H3180">
        <v>1034</v>
      </c>
      <c r="I3180">
        <v>0</v>
      </c>
      <c r="J3180">
        <v>50</v>
      </c>
      <c r="K3180">
        <v>0</v>
      </c>
      <c r="L3180">
        <v>30</v>
      </c>
      <c r="M3180">
        <v>0</v>
      </c>
      <c r="N3180">
        <v>0</v>
      </c>
      <c r="O3180">
        <v>0</v>
      </c>
      <c r="P3180">
        <v>0</v>
      </c>
      <c r="Q3180">
        <v>0</v>
      </c>
      <c r="R3180">
        <v>0</v>
      </c>
      <c r="S3180">
        <v>0</v>
      </c>
      <c r="T3180">
        <v>0</v>
      </c>
      <c r="V3180">
        <v>0</v>
      </c>
      <c r="W3180">
        <v>1114</v>
      </c>
    </row>
    <row r="3181" spans="1:23" x14ac:dyDescent="0.25">
      <c r="H3181">
        <v>703</v>
      </c>
    </row>
    <row r="3182" spans="1:23" x14ac:dyDescent="0.25">
      <c r="A3182">
        <v>1588</v>
      </c>
      <c r="B3182">
        <v>2054</v>
      </c>
      <c r="C3182" t="s">
        <v>4532</v>
      </c>
      <c r="D3182" t="s">
        <v>52</v>
      </c>
      <c r="E3182" t="s">
        <v>76</v>
      </c>
      <c r="F3182" t="s">
        <v>4533</v>
      </c>
      <c r="G3182" t="str">
        <f>"201304002241"</f>
        <v>201304002241</v>
      </c>
      <c r="H3182" t="s">
        <v>446</v>
      </c>
      <c r="I3182">
        <v>0</v>
      </c>
      <c r="J3182">
        <v>30</v>
      </c>
      <c r="K3182">
        <v>0</v>
      </c>
      <c r="L3182">
        <v>0</v>
      </c>
      <c r="M3182">
        <v>0</v>
      </c>
      <c r="N3182">
        <v>0</v>
      </c>
      <c r="O3182">
        <v>0</v>
      </c>
      <c r="P3182">
        <v>0</v>
      </c>
      <c r="Q3182">
        <v>0</v>
      </c>
      <c r="R3182">
        <v>17</v>
      </c>
      <c r="S3182">
        <v>119</v>
      </c>
      <c r="T3182">
        <v>0</v>
      </c>
      <c r="V3182">
        <v>2</v>
      </c>
      <c r="W3182" t="s">
        <v>4534</v>
      </c>
    </row>
    <row r="3183" spans="1:23" x14ac:dyDescent="0.25">
      <c r="H3183">
        <v>703</v>
      </c>
    </row>
    <row r="3184" spans="1:23" x14ac:dyDescent="0.25">
      <c r="A3184">
        <v>1589</v>
      </c>
      <c r="B3184">
        <v>1899</v>
      </c>
      <c r="C3184" t="s">
        <v>4535</v>
      </c>
      <c r="D3184" t="s">
        <v>293</v>
      </c>
      <c r="E3184" t="s">
        <v>227</v>
      </c>
      <c r="F3184" t="s">
        <v>4536</v>
      </c>
      <c r="G3184" t="str">
        <f>"00227747"</f>
        <v>00227747</v>
      </c>
      <c r="H3184" t="s">
        <v>209</v>
      </c>
      <c r="I3184">
        <v>0</v>
      </c>
      <c r="J3184">
        <v>30</v>
      </c>
      <c r="K3184">
        <v>0</v>
      </c>
      <c r="L3184">
        <v>0</v>
      </c>
      <c r="M3184">
        <v>0</v>
      </c>
      <c r="N3184">
        <v>0</v>
      </c>
      <c r="O3184">
        <v>0</v>
      </c>
      <c r="P3184">
        <v>0</v>
      </c>
      <c r="Q3184">
        <v>0</v>
      </c>
      <c r="R3184">
        <v>0</v>
      </c>
      <c r="S3184">
        <v>0</v>
      </c>
      <c r="T3184">
        <v>0</v>
      </c>
      <c r="V3184">
        <v>0</v>
      </c>
      <c r="W3184" t="s">
        <v>4537</v>
      </c>
    </row>
    <row r="3185" spans="1:23" x14ac:dyDescent="0.25">
      <c r="H3185">
        <v>703</v>
      </c>
    </row>
    <row r="3186" spans="1:23" x14ac:dyDescent="0.25">
      <c r="A3186">
        <v>1590</v>
      </c>
      <c r="B3186">
        <v>1396</v>
      </c>
      <c r="C3186" t="s">
        <v>2826</v>
      </c>
      <c r="D3186" t="s">
        <v>105</v>
      </c>
      <c r="E3186" t="s">
        <v>1818</v>
      </c>
      <c r="F3186" t="s">
        <v>4538</v>
      </c>
      <c r="G3186" t="str">
        <f>"201512001427"</f>
        <v>201512001427</v>
      </c>
      <c r="H3186" t="s">
        <v>209</v>
      </c>
      <c r="I3186">
        <v>0</v>
      </c>
      <c r="J3186">
        <v>30</v>
      </c>
      <c r="K3186">
        <v>0</v>
      </c>
      <c r="L3186">
        <v>0</v>
      </c>
      <c r="M3186">
        <v>0</v>
      </c>
      <c r="N3186">
        <v>0</v>
      </c>
      <c r="O3186">
        <v>0</v>
      </c>
      <c r="P3186">
        <v>0</v>
      </c>
      <c r="Q3186">
        <v>0</v>
      </c>
      <c r="R3186">
        <v>0</v>
      </c>
      <c r="S3186">
        <v>0</v>
      </c>
      <c r="T3186">
        <v>0</v>
      </c>
      <c r="V3186">
        <v>0</v>
      </c>
      <c r="W3186" t="s">
        <v>4537</v>
      </c>
    </row>
    <row r="3187" spans="1:23" x14ac:dyDescent="0.25">
      <c r="H3187" t="s">
        <v>26</v>
      </c>
    </row>
    <row r="3188" spans="1:23" x14ac:dyDescent="0.25">
      <c r="A3188">
        <v>1591</v>
      </c>
      <c r="B3188">
        <v>505</v>
      </c>
      <c r="C3188" t="s">
        <v>4539</v>
      </c>
      <c r="D3188" t="s">
        <v>4540</v>
      </c>
      <c r="E3188" t="s">
        <v>113</v>
      </c>
      <c r="F3188" t="s">
        <v>4541</v>
      </c>
      <c r="G3188" t="str">
        <f>"201405000058"</f>
        <v>201405000058</v>
      </c>
      <c r="H3188" t="s">
        <v>2186</v>
      </c>
      <c r="I3188">
        <v>150</v>
      </c>
      <c r="J3188">
        <v>70</v>
      </c>
      <c r="K3188">
        <v>30</v>
      </c>
      <c r="L3188">
        <v>0</v>
      </c>
      <c r="M3188">
        <v>0</v>
      </c>
      <c r="N3188">
        <v>0</v>
      </c>
      <c r="O3188">
        <v>0</v>
      </c>
      <c r="P3188">
        <v>0</v>
      </c>
      <c r="Q3188">
        <v>0</v>
      </c>
      <c r="R3188">
        <v>0</v>
      </c>
      <c r="S3188">
        <v>0</v>
      </c>
      <c r="T3188">
        <v>0</v>
      </c>
      <c r="V3188">
        <v>0</v>
      </c>
      <c r="W3188" t="s">
        <v>4537</v>
      </c>
    </row>
    <row r="3189" spans="1:23" x14ac:dyDescent="0.25">
      <c r="H3189" t="s">
        <v>70</v>
      </c>
    </row>
    <row r="3190" spans="1:23" x14ac:dyDescent="0.25">
      <c r="A3190">
        <v>1592</v>
      </c>
      <c r="B3190">
        <v>1477</v>
      </c>
      <c r="C3190" t="s">
        <v>4542</v>
      </c>
      <c r="D3190" t="s">
        <v>76</v>
      </c>
      <c r="E3190" t="s">
        <v>53</v>
      </c>
      <c r="F3190" t="s">
        <v>4543</v>
      </c>
      <c r="G3190" t="str">
        <f>"00176067"</f>
        <v>00176067</v>
      </c>
      <c r="H3190" t="s">
        <v>2186</v>
      </c>
      <c r="I3190">
        <v>150</v>
      </c>
      <c r="J3190">
        <v>70</v>
      </c>
      <c r="K3190">
        <v>30</v>
      </c>
      <c r="L3190">
        <v>0</v>
      </c>
      <c r="M3190">
        <v>0</v>
      </c>
      <c r="N3190">
        <v>0</v>
      </c>
      <c r="O3190">
        <v>0</v>
      </c>
      <c r="P3190">
        <v>0</v>
      </c>
      <c r="Q3190">
        <v>0</v>
      </c>
      <c r="R3190">
        <v>0</v>
      </c>
      <c r="S3190">
        <v>0</v>
      </c>
      <c r="T3190">
        <v>0</v>
      </c>
      <c r="V3190">
        <v>0</v>
      </c>
      <c r="W3190" t="s">
        <v>4537</v>
      </c>
    </row>
    <row r="3191" spans="1:23" x14ac:dyDescent="0.25">
      <c r="H3191" t="s">
        <v>70</v>
      </c>
    </row>
    <row r="3192" spans="1:23" x14ac:dyDescent="0.25">
      <c r="A3192">
        <v>1593</v>
      </c>
      <c r="B3192">
        <v>848</v>
      </c>
      <c r="C3192" t="s">
        <v>4544</v>
      </c>
      <c r="D3192" t="s">
        <v>4545</v>
      </c>
      <c r="E3192" t="s">
        <v>383</v>
      </c>
      <c r="F3192" t="s">
        <v>4546</v>
      </c>
      <c r="G3192" t="str">
        <f>"201406006081"</f>
        <v>201406006081</v>
      </c>
      <c r="H3192">
        <v>1012</v>
      </c>
      <c r="I3192">
        <v>0</v>
      </c>
      <c r="J3192">
        <v>70</v>
      </c>
      <c r="K3192">
        <v>30</v>
      </c>
      <c r="L3192">
        <v>0</v>
      </c>
      <c r="M3192">
        <v>0</v>
      </c>
      <c r="N3192">
        <v>0</v>
      </c>
      <c r="O3192">
        <v>0</v>
      </c>
      <c r="P3192">
        <v>0</v>
      </c>
      <c r="Q3192">
        <v>0</v>
      </c>
      <c r="R3192">
        <v>0</v>
      </c>
      <c r="S3192">
        <v>0</v>
      </c>
      <c r="T3192">
        <v>0</v>
      </c>
      <c r="V3192">
        <v>0</v>
      </c>
      <c r="W3192">
        <v>1112</v>
      </c>
    </row>
    <row r="3193" spans="1:23" x14ac:dyDescent="0.25">
      <c r="H3193" t="s">
        <v>70</v>
      </c>
    </row>
    <row r="3194" spans="1:23" x14ac:dyDescent="0.25">
      <c r="A3194">
        <v>1594</v>
      </c>
      <c r="B3194">
        <v>583</v>
      </c>
      <c r="C3194" t="s">
        <v>4547</v>
      </c>
      <c r="D3194" t="s">
        <v>424</v>
      </c>
      <c r="E3194" t="s">
        <v>109</v>
      </c>
      <c r="F3194" t="s">
        <v>4548</v>
      </c>
      <c r="G3194" t="str">
        <f>"201604002144"</f>
        <v>201604002144</v>
      </c>
      <c r="H3194">
        <v>1012</v>
      </c>
      <c r="I3194">
        <v>0</v>
      </c>
      <c r="J3194">
        <v>70</v>
      </c>
      <c r="K3194">
        <v>30</v>
      </c>
      <c r="L3194">
        <v>0</v>
      </c>
      <c r="M3194">
        <v>0</v>
      </c>
      <c r="N3194">
        <v>0</v>
      </c>
      <c r="O3194">
        <v>0</v>
      </c>
      <c r="P3194">
        <v>0</v>
      </c>
      <c r="Q3194">
        <v>0</v>
      </c>
      <c r="R3194">
        <v>0</v>
      </c>
      <c r="S3194">
        <v>0</v>
      </c>
      <c r="T3194">
        <v>0</v>
      </c>
      <c r="V3194">
        <v>0</v>
      </c>
      <c r="W3194">
        <v>1112</v>
      </c>
    </row>
    <row r="3195" spans="1:23" x14ac:dyDescent="0.25">
      <c r="H3195" t="s">
        <v>26</v>
      </c>
    </row>
    <row r="3196" spans="1:23" x14ac:dyDescent="0.25">
      <c r="A3196">
        <v>1595</v>
      </c>
      <c r="B3196">
        <v>2174</v>
      </c>
      <c r="C3196" t="s">
        <v>818</v>
      </c>
      <c r="D3196" t="s">
        <v>1344</v>
      </c>
      <c r="E3196" t="s">
        <v>4549</v>
      </c>
      <c r="F3196" t="s">
        <v>4550</v>
      </c>
      <c r="G3196" t="str">
        <f>"201410008639"</f>
        <v>201410008639</v>
      </c>
      <c r="H3196">
        <v>1012</v>
      </c>
      <c r="I3196">
        <v>0</v>
      </c>
      <c r="J3196">
        <v>70</v>
      </c>
      <c r="K3196">
        <v>0</v>
      </c>
      <c r="L3196">
        <v>0</v>
      </c>
      <c r="M3196">
        <v>30</v>
      </c>
      <c r="N3196">
        <v>0</v>
      </c>
      <c r="O3196">
        <v>0</v>
      </c>
      <c r="P3196">
        <v>0</v>
      </c>
      <c r="Q3196">
        <v>0</v>
      </c>
      <c r="R3196">
        <v>0</v>
      </c>
      <c r="S3196">
        <v>0</v>
      </c>
      <c r="T3196">
        <v>0</v>
      </c>
      <c r="V3196">
        <v>1</v>
      </c>
      <c r="W3196">
        <v>1112</v>
      </c>
    </row>
    <row r="3197" spans="1:23" x14ac:dyDescent="0.25">
      <c r="H3197" t="s">
        <v>26</v>
      </c>
    </row>
    <row r="3198" spans="1:23" x14ac:dyDescent="0.25">
      <c r="A3198">
        <v>1596</v>
      </c>
      <c r="B3198">
        <v>1698</v>
      </c>
      <c r="C3198" t="s">
        <v>4551</v>
      </c>
      <c r="D3198" t="s">
        <v>140</v>
      </c>
      <c r="E3198" t="s">
        <v>109</v>
      </c>
      <c r="F3198" t="s">
        <v>4552</v>
      </c>
      <c r="G3198" t="str">
        <f>"201406006040"</f>
        <v>201406006040</v>
      </c>
      <c r="H3198">
        <v>1012</v>
      </c>
      <c r="I3198">
        <v>0</v>
      </c>
      <c r="J3198">
        <v>70</v>
      </c>
      <c r="K3198">
        <v>0</v>
      </c>
      <c r="L3198">
        <v>0</v>
      </c>
      <c r="M3198">
        <v>0</v>
      </c>
      <c r="N3198">
        <v>30</v>
      </c>
      <c r="O3198">
        <v>0</v>
      </c>
      <c r="P3198">
        <v>0</v>
      </c>
      <c r="Q3198">
        <v>0</v>
      </c>
      <c r="R3198">
        <v>0</v>
      </c>
      <c r="S3198">
        <v>0</v>
      </c>
      <c r="T3198">
        <v>0</v>
      </c>
      <c r="V3198">
        <v>0</v>
      </c>
      <c r="W3198">
        <v>1112</v>
      </c>
    </row>
    <row r="3199" spans="1:23" x14ac:dyDescent="0.25">
      <c r="H3199" t="s">
        <v>70</v>
      </c>
    </row>
    <row r="3200" spans="1:23" x14ac:dyDescent="0.25">
      <c r="A3200">
        <v>1597</v>
      </c>
      <c r="B3200">
        <v>997</v>
      </c>
      <c r="C3200" t="s">
        <v>4553</v>
      </c>
      <c r="D3200" t="s">
        <v>112</v>
      </c>
      <c r="E3200" t="s">
        <v>21</v>
      </c>
      <c r="F3200" t="s">
        <v>4554</v>
      </c>
      <c r="G3200" t="str">
        <f>"00113368"</f>
        <v>00113368</v>
      </c>
      <c r="H3200">
        <v>1012</v>
      </c>
      <c r="I3200">
        <v>0</v>
      </c>
      <c r="J3200">
        <v>70</v>
      </c>
      <c r="K3200">
        <v>0</v>
      </c>
      <c r="L3200">
        <v>30</v>
      </c>
      <c r="M3200">
        <v>0</v>
      </c>
      <c r="N3200">
        <v>0</v>
      </c>
      <c r="O3200">
        <v>0</v>
      </c>
      <c r="P3200">
        <v>0</v>
      </c>
      <c r="Q3200">
        <v>0</v>
      </c>
      <c r="R3200">
        <v>0</v>
      </c>
      <c r="S3200">
        <v>0</v>
      </c>
      <c r="T3200">
        <v>0</v>
      </c>
      <c r="V3200">
        <v>0</v>
      </c>
      <c r="W3200">
        <v>1112</v>
      </c>
    </row>
    <row r="3201" spans="1:23" x14ac:dyDescent="0.25">
      <c r="H3201" t="s">
        <v>70</v>
      </c>
    </row>
    <row r="3202" spans="1:23" x14ac:dyDescent="0.25">
      <c r="A3202">
        <v>1598</v>
      </c>
      <c r="B3202">
        <v>2902</v>
      </c>
      <c r="C3202" t="s">
        <v>4555</v>
      </c>
      <c r="D3202" t="s">
        <v>254</v>
      </c>
      <c r="E3202" t="s">
        <v>523</v>
      </c>
      <c r="F3202" t="s">
        <v>4556</v>
      </c>
      <c r="G3202" t="str">
        <f>"00175776"</f>
        <v>00175776</v>
      </c>
      <c r="H3202" t="s">
        <v>281</v>
      </c>
      <c r="I3202">
        <v>0</v>
      </c>
      <c r="J3202">
        <v>30</v>
      </c>
      <c r="K3202">
        <v>0</v>
      </c>
      <c r="L3202">
        <v>0</v>
      </c>
      <c r="M3202">
        <v>0</v>
      </c>
      <c r="N3202">
        <v>0</v>
      </c>
      <c r="O3202">
        <v>0</v>
      </c>
      <c r="P3202">
        <v>0</v>
      </c>
      <c r="Q3202">
        <v>0</v>
      </c>
      <c r="R3202">
        <v>6</v>
      </c>
      <c r="S3202">
        <v>42</v>
      </c>
      <c r="T3202">
        <v>0</v>
      </c>
      <c r="V3202">
        <v>0</v>
      </c>
      <c r="W3202" t="s">
        <v>4557</v>
      </c>
    </row>
    <row r="3203" spans="1:23" x14ac:dyDescent="0.25">
      <c r="H3203">
        <v>703</v>
      </c>
    </row>
    <row r="3204" spans="1:23" x14ac:dyDescent="0.25">
      <c r="A3204">
        <v>1599</v>
      </c>
      <c r="B3204">
        <v>66</v>
      </c>
      <c r="C3204" t="s">
        <v>4558</v>
      </c>
      <c r="D3204" t="s">
        <v>4559</v>
      </c>
      <c r="E3204" t="s">
        <v>2469</v>
      </c>
      <c r="F3204" t="s">
        <v>4560</v>
      </c>
      <c r="G3204" t="str">
        <f>"201502003587"</f>
        <v>201502003587</v>
      </c>
      <c r="H3204">
        <v>1012</v>
      </c>
      <c r="I3204">
        <v>0</v>
      </c>
      <c r="J3204">
        <v>50</v>
      </c>
      <c r="K3204">
        <v>0</v>
      </c>
      <c r="L3204">
        <v>0</v>
      </c>
      <c r="M3204">
        <v>0</v>
      </c>
      <c r="N3204">
        <v>0</v>
      </c>
      <c r="O3204">
        <v>0</v>
      </c>
      <c r="P3204">
        <v>0</v>
      </c>
      <c r="Q3204">
        <v>0</v>
      </c>
      <c r="R3204">
        <v>7</v>
      </c>
      <c r="S3204">
        <v>49</v>
      </c>
      <c r="T3204">
        <v>0</v>
      </c>
      <c r="V3204">
        <v>0</v>
      </c>
      <c r="W3204">
        <v>1111</v>
      </c>
    </row>
    <row r="3205" spans="1:23" x14ac:dyDescent="0.25">
      <c r="H3205" t="s">
        <v>70</v>
      </c>
    </row>
    <row r="3206" spans="1:23" x14ac:dyDescent="0.25">
      <c r="A3206">
        <v>1600</v>
      </c>
      <c r="B3206">
        <v>2419</v>
      </c>
      <c r="C3206" t="s">
        <v>4561</v>
      </c>
      <c r="D3206" t="s">
        <v>4562</v>
      </c>
      <c r="E3206" t="s">
        <v>99</v>
      </c>
      <c r="F3206" t="s">
        <v>4563</v>
      </c>
      <c r="G3206" t="str">
        <f>"00228235"</f>
        <v>00228235</v>
      </c>
      <c r="H3206">
        <v>957</v>
      </c>
      <c r="I3206">
        <v>0</v>
      </c>
      <c r="J3206">
        <v>70</v>
      </c>
      <c r="K3206">
        <v>0</v>
      </c>
      <c r="L3206">
        <v>0</v>
      </c>
      <c r="M3206">
        <v>0</v>
      </c>
      <c r="N3206">
        <v>0</v>
      </c>
      <c r="O3206">
        <v>0</v>
      </c>
      <c r="P3206">
        <v>0</v>
      </c>
      <c r="Q3206">
        <v>0</v>
      </c>
      <c r="R3206">
        <v>12</v>
      </c>
      <c r="S3206">
        <v>84</v>
      </c>
      <c r="T3206">
        <v>0</v>
      </c>
      <c r="V3206">
        <v>1</v>
      </c>
      <c r="W3206">
        <v>1111</v>
      </c>
    </row>
    <row r="3207" spans="1:23" x14ac:dyDescent="0.25">
      <c r="H3207">
        <v>703</v>
      </c>
    </row>
    <row r="3208" spans="1:23" x14ac:dyDescent="0.25">
      <c r="A3208">
        <v>1601</v>
      </c>
      <c r="B3208">
        <v>1939</v>
      </c>
      <c r="C3208" t="s">
        <v>4564</v>
      </c>
      <c r="D3208" t="s">
        <v>40</v>
      </c>
      <c r="E3208" t="s">
        <v>76</v>
      </c>
      <c r="F3208" t="s">
        <v>4565</v>
      </c>
      <c r="G3208" t="str">
        <f>"00009439"</f>
        <v>00009439</v>
      </c>
      <c r="H3208" t="s">
        <v>73</v>
      </c>
      <c r="I3208">
        <v>0</v>
      </c>
      <c r="J3208">
        <v>30</v>
      </c>
      <c r="K3208">
        <v>30</v>
      </c>
      <c r="L3208">
        <v>0</v>
      </c>
      <c r="M3208">
        <v>0</v>
      </c>
      <c r="N3208">
        <v>0</v>
      </c>
      <c r="O3208">
        <v>0</v>
      </c>
      <c r="P3208">
        <v>0</v>
      </c>
      <c r="Q3208">
        <v>0</v>
      </c>
      <c r="R3208">
        <v>0</v>
      </c>
      <c r="S3208">
        <v>0</v>
      </c>
      <c r="T3208">
        <v>0</v>
      </c>
      <c r="V3208">
        <v>2</v>
      </c>
      <c r="W3208" t="s">
        <v>4566</v>
      </c>
    </row>
    <row r="3209" spans="1:23" x14ac:dyDescent="0.25">
      <c r="H3209" t="s">
        <v>70</v>
      </c>
    </row>
    <row r="3210" spans="1:23" x14ac:dyDescent="0.25">
      <c r="A3210">
        <v>1602</v>
      </c>
      <c r="B3210">
        <v>3195</v>
      </c>
      <c r="C3210" t="s">
        <v>4567</v>
      </c>
      <c r="D3210" t="s">
        <v>46</v>
      </c>
      <c r="E3210" t="s">
        <v>15</v>
      </c>
      <c r="F3210" t="s">
        <v>4568</v>
      </c>
      <c r="G3210" t="str">
        <f>"00090376"</f>
        <v>00090376</v>
      </c>
      <c r="H3210" t="s">
        <v>73</v>
      </c>
      <c r="I3210">
        <v>0</v>
      </c>
      <c r="J3210">
        <v>30</v>
      </c>
      <c r="K3210">
        <v>30</v>
      </c>
      <c r="L3210">
        <v>0</v>
      </c>
      <c r="M3210">
        <v>0</v>
      </c>
      <c r="N3210">
        <v>0</v>
      </c>
      <c r="O3210">
        <v>0</v>
      </c>
      <c r="P3210">
        <v>0</v>
      </c>
      <c r="Q3210">
        <v>0</v>
      </c>
      <c r="R3210">
        <v>0</v>
      </c>
      <c r="S3210">
        <v>0</v>
      </c>
      <c r="T3210">
        <v>0</v>
      </c>
      <c r="V3210">
        <v>0</v>
      </c>
      <c r="W3210" t="s">
        <v>4566</v>
      </c>
    </row>
    <row r="3211" spans="1:23" x14ac:dyDescent="0.25">
      <c r="H3211" t="s">
        <v>70</v>
      </c>
    </row>
    <row r="3212" spans="1:23" x14ac:dyDescent="0.25">
      <c r="A3212">
        <v>1603</v>
      </c>
      <c r="B3212">
        <v>40</v>
      </c>
      <c r="C3212" t="s">
        <v>4569</v>
      </c>
      <c r="D3212" t="s">
        <v>285</v>
      </c>
      <c r="E3212" t="s">
        <v>53</v>
      </c>
      <c r="F3212" t="s">
        <v>4570</v>
      </c>
      <c r="G3212" t="str">
        <f>"00224121"</f>
        <v>00224121</v>
      </c>
      <c r="H3212" t="s">
        <v>202</v>
      </c>
      <c r="I3212">
        <v>0</v>
      </c>
      <c r="J3212">
        <v>0</v>
      </c>
      <c r="K3212">
        <v>0</v>
      </c>
      <c r="L3212">
        <v>0</v>
      </c>
      <c r="M3212">
        <v>0</v>
      </c>
      <c r="N3212">
        <v>0</v>
      </c>
      <c r="O3212">
        <v>0</v>
      </c>
      <c r="P3212">
        <v>0</v>
      </c>
      <c r="Q3212">
        <v>0</v>
      </c>
      <c r="R3212">
        <v>18</v>
      </c>
      <c r="S3212">
        <v>126</v>
      </c>
      <c r="T3212">
        <v>0</v>
      </c>
      <c r="V3212">
        <v>0</v>
      </c>
      <c r="W3212" t="s">
        <v>4566</v>
      </c>
    </row>
    <row r="3213" spans="1:23" x14ac:dyDescent="0.25">
      <c r="H3213">
        <v>703</v>
      </c>
    </row>
    <row r="3214" spans="1:23" x14ac:dyDescent="0.25">
      <c r="A3214">
        <v>1604</v>
      </c>
      <c r="B3214">
        <v>504</v>
      </c>
      <c r="C3214" t="s">
        <v>4571</v>
      </c>
      <c r="D3214" t="s">
        <v>382</v>
      </c>
      <c r="E3214" t="s">
        <v>53</v>
      </c>
      <c r="F3214" t="s">
        <v>4572</v>
      </c>
      <c r="G3214" t="str">
        <f>"00145174"</f>
        <v>00145174</v>
      </c>
      <c r="H3214" t="s">
        <v>4269</v>
      </c>
      <c r="I3214">
        <v>0</v>
      </c>
      <c r="J3214">
        <v>30</v>
      </c>
      <c r="K3214">
        <v>0</v>
      </c>
      <c r="L3214">
        <v>0</v>
      </c>
      <c r="M3214">
        <v>0</v>
      </c>
      <c r="N3214">
        <v>0</v>
      </c>
      <c r="O3214">
        <v>0</v>
      </c>
      <c r="P3214">
        <v>0</v>
      </c>
      <c r="Q3214">
        <v>0</v>
      </c>
      <c r="R3214">
        <v>0</v>
      </c>
      <c r="S3214">
        <v>0</v>
      </c>
      <c r="T3214">
        <v>0</v>
      </c>
      <c r="V3214">
        <v>0</v>
      </c>
      <c r="W3214" t="s">
        <v>4573</v>
      </c>
    </row>
    <row r="3215" spans="1:23" x14ac:dyDescent="0.25">
      <c r="H3215">
        <v>703</v>
      </c>
    </row>
    <row r="3216" spans="1:23" x14ac:dyDescent="0.25">
      <c r="A3216">
        <v>1605</v>
      </c>
      <c r="B3216">
        <v>520</v>
      </c>
      <c r="C3216" t="s">
        <v>4574</v>
      </c>
      <c r="D3216" t="s">
        <v>4575</v>
      </c>
      <c r="E3216" t="s">
        <v>4576</v>
      </c>
      <c r="F3216" t="s">
        <v>4577</v>
      </c>
      <c r="G3216" t="str">
        <f>"00024283"</f>
        <v>00024283</v>
      </c>
      <c r="H3216" t="s">
        <v>1583</v>
      </c>
      <c r="I3216">
        <v>0</v>
      </c>
      <c r="J3216">
        <v>30</v>
      </c>
      <c r="K3216">
        <v>0</v>
      </c>
      <c r="L3216">
        <v>0</v>
      </c>
      <c r="M3216">
        <v>0</v>
      </c>
      <c r="N3216">
        <v>0</v>
      </c>
      <c r="O3216">
        <v>0</v>
      </c>
      <c r="P3216">
        <v>0</v>
      </c>
      <c r="Q3216">
        <v>0</v>
      </c>
      <c r="R3216">
        <v>35</v>
      </c>
      <c r="S3216">
        <v>245</v>
      </c>
      <c r="T3216">
        <v>0</v>
      </c>
      <c r="V3216">
        <v>0</v>
      </c>
      <c r="W3216" t="s">
        <v>4578</v>
      </c>
    </row>
    <row r="3217" spans="1:23" x14ac:dyDescent="0.25">
      <c r="H3217">
        <v>703</v>
      </c>
    </row>
    <row r="3218" spans="1:23" x14ac:dyDescent="0.25">
      <c r="A3218">
        <v>1606</v>
      </c>
      <c r="B3218">
        <v>2203</v>
      </c>
      <c r="C3218" t="s">
        <v>4579</v>
      </c>
      <c r="D3218" t="s">
        <v>37</v>
      </c>
      <c r="E3218" t="s">
        <v>91</v>
      </c>
      <c r="F3218" t="s">
        <v>4580</v>
      </c>
      <c r="G3218" t="str">
        <f>"201506004230"</f>
        <v>201506004230</v>
      </c>
      <c r="H3218" t="s">
        <v>958</v>
      </c>
      <c r="I3218">
        <v>0</v>
      </c>
      <c r="J3218">
        <v>50</v>
      </c>
      <c r="K3218">
        <v>0</v>
      </c>
      <c r="L3218">
        <v>30</v>
      </c>
      <c r="M3218">
        <v>0</v>
      </c>
      <c r="N3218">
        <v>0</v>
      </c>
      <c r="O3218">
        <v>0</v>
      </c>
      <c r="P3218">
        <v>0</v>
      </c>
      <c r="Q3218">
        <v>0</v>
      </c>
      <c r="R3218">
        <v>0</v>
      </c>
      <c r="S3218">
        <v>0</v>
      </c>
      <c r="T3218">
        <v>0</v>
      </c>
      <c r="V3218">
        <v>2</v>
      </c>
      <c r="W3218" t="s">
        <v>4581</v>
      </c>
    </row>
    <row r="3219" spans="1:23" x14ac:dyDescent="0.25">
      <c r="H3219" t="s">
        <v>26</v>
      </c>
    </row>
    <row r="3220" spans="1:23" x14ac:dyDescent="0.25">
      <c r="A3220">
        <v>1607</v>
      </c>
      <c r="B3220">
        <v>324</v>
      </c>
      <c r="C3220" t="s">
        <v>4582</v>
      </c>
      <c r="D3220" t="s">
        <v>3214</v>
      </c>
      <c r="E3220" t="s">
        <v>105</v>
      </c>
      <c r="F3220" t="s">
        <v>4583</v>
      </c>
      <c r="G3220" t="str">
        <f>"201402005777"</f>
        <v>201402005777</v>
      </c>
      <c r="H3220" t="s">
        <v>958</v>
      </c>
      <c r="I3220">
        <v>0</v>
      </c>
      <c r="J3220">
        <v>30</v>
      </c>
      <c r="K3220">
        <v>0</v>
      </c>
      <c r="L3220">
        <v>50</v>
      </c>
      <c r="M3220">
        <v>0</v>
      </c>
      <c r="N3220">
        <v>0</v>
      </c>
      <c r="O3220">
        <v>0</v>
      </c>
      <c r="P3220">
        <v>0</v>
      </c>
      <c r="Q3220">
        <v>0</v>
      </c>
      <c r="R3220">
        <v>0</v>
      </c>
      <c r="S3220">
        <v>0</v>
      </c>
      <c r="T3220">
        <v>0</v>
      </c>
      <c r="V3220">
        <v>0</v>
      </c>
      <c r="W3220" t="s">
        <v>4581</v>
      </c>
    </row>
    <row r="3221" spans="1:23" x14ac:dyDescent="0.25">
      <c r="H3221" t="s">
        <v>70</v>
      </c>
    </row>
    <row r="3222" spans="1:23" x14ac:dyDescent="0.25">
      <c r="A3222">
        <v>1608</v>
      </c>
      <c r="B3222">
        <v>2092</v>
      </c>
      <c r="C3222" t="s">
        <v>4584</v>
      </c>
      <c r="D3222" t="s">
        <v>1670</v>
      </c>
      <c r="E3222" t="s">
        <v>15</v>
      </c>
      <c r="F3222" t="s">
        <v>4585</v>
      </c>
      <c r="G3222" t="str">
        <f>"00222418"</f>
        <v>00222418</v>
      </c>
      <c r="H3222" t="s">
        <v>281</v>
      </c>
      <c r="I3222">
        <v>0</v>
      </c>
      <c r="J3222">
        <v>70</v>
      </c>
      <c r="K3222">
        <v>0</v>
      </c>
      <c r="L3222">
        <v>0</v>
      </c>
      <c r="M3222">
        <v>0</v>
      </c>
      <c r="N3222">
        <v>0</v>
      </c>
      <c r="O3222">
        <v>0</v>
      </c>
      <c r="P3222">
        <v>0</v>
      </c>
      <c r="Q3222">
        <v>0</v>
      </c>
      <c r="R3222">
        <v>0</v>
      </c>
      <c r="S3222">
        <v>0</v>
      </c>
      <c r="T3222">
        <v>0</v>
      </c>
      <c r="V3222">
        <v>0</v>
      </c>
      <c r="W3222" t="s">
        <v>4586</v>
      </c>
    </row>
    <row r="3223" spans="1:23" x14ac:dyDescent="0.25">
      <c r="H3223">
        <v>703</v>
      </c>
    </row>
    <row r="3224" spans="1:23" x14ac:dyDescent="0.25">
      <c r="A3224">
        <v>1609</v>
      </c>
      <c r="B3224">
        <v>1411</v>
      </c>
      <c r="C3224" t="s">
        <v>4587</v>
      </c>
      <c r="D3224" t="s">
        <v>4588</v>
      </c>
      <c r="E3224" t="s">
        <v>21</v>
      </c>
      <c r="F3224" t="s">
        <v>4589</v>
      </c>
      <c r="G3224" t="str">
        <f>"00037648"</f>
        <v>00037648</v>
      </c>
      <c r="H3224" t="s">
        <v>281</v>
      </c>
      <c r="I3224">
        <v>0</v>
      </c>
      <c r="J3224">
        <v>70</v>
      </c>
      <c r="K3224">
        <v>0</v>
      </c>
      <c r="L3224">
        <v>0</v>
      </c>
      <c r="M3224">
        <v>0</v>
      </c>
      <c r="N3224">
        <v>0</v>
      </c>
      <c r="O3224">
        <v>0</v>
      </c>
      <c r="P3224">
        <v>0</v>
      </c>
      <c r="Q3224">
        <v>0</v>
      </c>
      <c r="R3224">
        <v>0</v>
      </c>
      <c r="S3224">
        <v>0</v>
      </c>
      <c r="T3224">
        <v>0</v>
      </c>
      <c r="V3224">
        <v>0</v>
      </c>
      <c r="W3224" t="s">
        <v>4586</v>
      </c>
    </row>
    <row r="3225" spans="1:23" x14ac:dyDescent="0.25">
      <c r="H3225">
        <v>703</v>
      </c>
    </row>
    <row r="3226" spans="1:23" x14ac:dyDescent="0.25">
      <c r="A3226">
        <v>1610</v>
      </c>
      <c r="B3226">
        <v>1593</v>
      </c>
      <c r="C3226" t="s">
        <v>4590</v>
      </c>
      <c r="D3226" t="s">
        <v>2129</v>
      </c>
      <c r="E3226" t="s">
        <v>76</v>
      </c>
      <c r="F3226" t="s">
        <v>4591</v>
      </c>
      <c r="G3226" t="str">
        <f>"00143147"</f>
        <v>00143147</v>
      </c>
      <c r="H3226" t="s">
        <v>281</v>
      </c>
      <c r="I3226">
        <v>0</v>
      </c>
      <c r="J3226">
        <v>70</v>
      </c>
      <c r="K3226">
        <v>0</v>
      </c>
      <c r="L3226">
        <v>0</v>
      </c>
      <c r="M3226">
        <v>0</v>
      </c>
      <c r="N3226">
        <v>0</v>
      </c>
      <c r="O3226">
        <v>0</v>
      </c>
      <c r="P3226">
        <v>0</v>
      </c>
      <c r="Q3226">
        <v>0</v>
      </c>
      <c r="R3226">
        <v>0</v>
      </c>
      <c r="S3226">
        <v>0</v>
      </c>
      <c r="T3226">
        <v>0</v>
      </c>
      <c r="V3226">
        <v>0</v>
      </c>
      <c r="W3226" t="s">
        <v>4586</v>
      </c>
    </row>
    <row r="3227" spans="1:23" x14ac:dyDescent="0.25">
      <c r="H3227">
        <v>703</v>
      </c>
    </row>
    <row r="3228" spans="1:23" x14ac:dyDescent="0.25">
      <c r="A3228">
        <v>1611</v>
      </c>
      <c r="B3228">
        <v>2893</v>
      </c>
      <c r="C3228" t="s">
        <v>4592</v>
      </c>
      <c r="D3228" t="s">
        <v>248</v>
      </c>
      <c r="E3228" t="s">
        <v>53</v>
      </c>
      <c r="F3228" t="s">
        <v>4593</v>
      </c>
      <c r="G3228" t="str">
        <f>"200801006353"</f>
        <v>200801006353</v>
      </c>
      <c r="H3228" t="s">
        <v>1532</v>
      </c>
      <c r="I3228">
        <v>150</v>
      </c>
      <c r="J3228">
        <v>30</v>
      </c>
      <c r="K3228">
        <v>0</v>
      </c>
      <c r="L3228">
        <v>0</v>
      </c>
      <c r="M3228">
        <v>0</v>
      </c>
      <c r="N3228">
        <v>0</v>
      </c>
      <c r="O3228">
        <v>0</v>
      </c>
      <c r="P3228">
        <v>0</v>
      </c>
      <c r="Q3228">
        <v>0</v>
      </c>
      <c r="R3228">
        <v>0</v>
      </c>
      <c r="S3228">
        <v>0</v>
      </c>
      <c r="T3228">
        <v>0</v>
      </c>
      <c r="V3228">
        <v>0</v>
      </c>
      <c r="W3228" t="s">
        <v>4586</v>
      </c>
    </row>
    <row r="3229" spans="1:23" x14ac:dyDescent="0.25">
      <c r="H3229">
        <v>703</v>
      </c>
    </row>
    <row r="3230" spans="1:23" x14ac:dyDescent="0.25">
      <c r="A3230">
        <v>1612</v>
      </c>
      <c r="B3230">
        <v>1063</v>
      </c>
      <c r="C3230" t="s">
        <v>4594</v>
      </c>
      <c r="D3230" t="s">
        <v>4595</v>
      </c>
      <c r="E3230" t="s">
        <v>4596</v>
      </c>
      <c r="F3230" t="s">
        <v>4597</v>
      </c>
      <c r="G3230" t="str">
        <f>"00001474"</f>
        <v>00001474</v>
      </c>
      <c r="H3230" t="s">
        <v>1532</v>
      </c>
      <c r="I3230">
        <v>150</v>
      </c>
      <c r="J3230">
        <v>30</v>
      </c>
      <c r="K3230">
        <v>0</v>
      </c>
      <c r="L3230">
        <v>0</v>
      </c>
      <c r="M3230">
        <v>0</v>
      </c>
      <c r="N3230">
        <v>0</v>
      </c>
      <c r="O3230">
        <v>0</v>
      </c>
      <c r="P3230">
        <v>0</v>
      </c>
      <c r="Q3230">
        <v>0</v>
      </c>
      <c r="R3230">
        <v>0</v>
      </c>
      <c r="S3230">
        <v>0</v>
      </c>
      <c r="T3230">
        <v>0</v>
      </c>
      <c r="V3230">
        <v>0</v>
      </c>
      <c r="W3230" t="s">
        <v>4586</v>
      </c>
    </row>
    <row r="3231" spans="1:23" x14ac:dyDescent="0.25">
      <c r="H3231">
        <v>703</v>
      </c>
    </row>
    <row r="3232" spans="1:23" x14ac:dyDescent="0.25">
      <c r="A3232">
        <v>1613</v>
      </c>
      <c r="B3232">
        <v>1764</v>
      </c>
      <c r="C3232" t="s">
        <v>4598</v>
      </c>
      <c r="D3232" t="s">
        <v>427</v>
      </c>
      <c r="E3232" t="s">
        <v>53</v>
      </c>
      <c r="F3232" t="s">
        <v>4599</v>
      </c>
      <c r="G3232" t="str">
        <f>"201503000363"</f>
        <v>201503000363</v>
      </c>
      <c r="H3232" t="s">
        <v>202</v>
      </c>
      <c r="I3232">
        <v>0</v>
      </c>
      <c r="J3232">
        <v>30</v>
      </c>
      <c r="K3232">
        <v>0</v>
      </c>
      <c r="L3232">
        <v>0</v>
      </c>
      <c r="M3232">
        <v>30</v>
      </c>
      <c r="N3232">
        <v>0</v>
      </c>
      <c r="O3232">
        <v>0</v>
      </c>
      <c r="P3232">
        <v>0</v>
      </c>
      <c r="Q3232">
        <v>0</v>
      </c>
      <c r="R3232">
        <v>9</v>
      </c>
      <c r="S3232">
        <v>63</v>
      </c>
      <c r="T3232">
        <v>0</v>
      </c>
      <c r="V3232">
        <v>0</v>
      </c>
      <c r="W3232" t="s">
        <v>4600</v>
      </c>
    </row>
    <row r="3233" spans="1:23" x14ac:dyDescent="0.25">
      <c r="H3233" t="s">
        <v>70</v>
      </c>
    </row>
    <row r="3234" spans="1:23" x14ac:dyDescent="0.25">
      <c r="A3234">
        <v>1614</v>
      </c>
      <c r="B3234">
        <v>1996</v>
      </c>
      <c r="C3234" t="s">
        <v>4601</v>
      </c>
      <c r="D3234" t="s">
        <v>912</v>
      </c>
      <c r="E3234" t="s">
        <v>91</v>
      </c>
      <c r="F3234" t="s">
        <v>4602</v>
      </c>
      <c r="G3234" t="str">
        <f>"201511018430"</f>
        <v>201511018430</v>
      </c>
      <c r="H3234">
        <v>957</v>
      </c>
      <c r="I3234">
        <v>150</v>
      </c>
      <c r="J3234">
        <v>0</v>
      </c>
      <c r="K3234">
        <v>0</v>
      </c>
      <c r="L3234">
        <v>0</v>
      </c>
      <c r="M3234">
        <v>0</v>
      </c>
      <c r="N3234">
        <v>0</v>
      </c>
      <c r="O3234">
        <v>0</v>
      </c>
      <c r="P3234">
        <v>0</v>
      </c>
      <c r="Q3234">
        <v>0</v>
      </c>
      <c r="R3234">
        <v>0</v>
      </c>
      <c r="S3234">
        <v>0</v>
      </c>
      <c r="T3234">
        <v>0</v>
      </c>
      <c r="V3234">
        <v>0</v>
      </c>
      <c r="W3234">
        <v>1107</v>
      </c>
    </row>
    <row r="3235" spans="1:23" x14ac:dyDescent="0.25">
      <c r="H3235">
        <v>703</v>
      </c>
    </row>
    <row r="3236" spans="1:23" x14ac:dyDescent="0.25">
      <c r="A3236">
        <v>1615</v>
      </c>
      <c r="B3236">
        <v>2738</v>
      </c>
      <c r="C3236" t="s">
        <v>4603</v>
      </c>
      <c r="D3236" t="s">
        <v>87</v>
      </c>
      <c r="E3236" t="s">
        <v>53</v>
      </c>
      <c r="F3236" t="s">
        <v>4604</v>
      </c>
      <c r="G3236" t="str">
        <f>"201406011307"</f>
        <v>201406011307</v>
      </c>
      <c r="H3236" t="s">
        <v>237</v>
      </c>
      <c r="I3236">
        <v>0</v>
      </c>
      <c r="J3236">
        <v>30</v>
      </c>
      <c r="K3236">
        <v>70</v>
      </c>
      <c r="L3236">
        <v>0</v>
      </c>
      <c r="M3236">
        <v>0</v>
      </c>
      <c r="N3236">
        <v>0</v>
      </c>
      <c r="O3236">
        <v>0</v>
      </c>
      <c r="P3236">
        <v>0</v>
      </c>
      <c r="Q3236">
        <v>0</v>
      </c>
      <c r="R3236">
        <v>0</v>
      </c>
      <c r="S3236">
        <v>0</v>
      </c>
      <c r="T3236">
        <v>0</v>
      </c>
      <c r="V3236">
        <v>0</v>
      </c>
      <c r="W3236" t="s">
        <v>4605</v>
      </c>
    </row>
    <row r="3237" spans="1:23" x14ac:dyDescent="0.25">
      <c r="H3237" t="s">
        <v>70</v>
      </c>
    </row>
    <row r="3238" spans="1:23" x14ac:dyDescent="0.25">
      <c r="A3238">
        <v>1616</v>
      </c>
      <c r="B3238">
        <v>2036</v>
      </c>
      <c r="C3238" t="s">
        <v>2307</v>
      </c>
      <c r="D3238" t="s">
        <v>32</v>
      </c>
      <c r="E3238" t="s">
        <v>99</v>
      </c>
      <c r="F3238" t="s">
        <v>4606</v>
      </c>
      <c r="G3238" t="str">
        <f>"00151070"</f>
        <v>00151070</v>
      </c>
      <c r="H3238" t="s">
        <v>237</v>
      </c>
      <c r="I3238">
        <v>0</v>
      </c>
      <c r="J3238">
        <v>70</v>
      </c>
      <c r="K3238">
        <v>0</v>
      </c>
      <c r="L3238">
        <v>0</v>
      </c>
      <c r="M3238">
        <v>30</v>
      </c>
      <c r="N3238">
        <v>0</v>
      </c>
      <c r="O3238">
        <v>0</v>
      </c>
      <c r="P3238">
        <v>0</v>
      </c>
      <c r="Q3238">
        <v>0</v>
      </c>
      <c r="R3238">
        <v>0</v>
      </c>
      <c r="S3238">
        <v>0</v>
      </c>
      <c r="T3238">
        <v>0</v>
      </c>
      <c r="V3238">
        <v>0</v>
      </c>
      <c r="W3238" t="s">
        <v>4605</v>
      </c>
    </row>
    <row r="3239" spans="1:23" x14ac:dyDescent="0.25">
      <c r="H3239" t="s">
        <v>70</v>
      </c>
    </row>
    <row r="3240" spans="1:23" x14ac:dyDescent="0.25">
      <c r="A3240">
        <v>1617</v>
      </c>
      <c r="B3240">
        <v>946</v>
      </c>
      <c r="C3240" t="s">
        <v>4607</v>
      </c>
      <c r="D3240" t="s">
        <v>28</v>
      </c>
      <c r="E3240" t="s">
        <v>4608</v>
      </c>
      <c r="F3240" t="s">
        <v>4609</v>
      </c>
      <c r="G3240" t="str">
        <f>"201506002799"</f>
        <v>201506002799</v>
      </c>
      <c r="H3240">
        <v>1001</v>
      </c>
      <c r="I3240">
        <v>0</v>
      </c>
      <c r="J3240">
        <v>70</v>
      </c>
      <c r="K3240">
        <v>0</v>
      </c>
      <c r="L3240">
        <v>0</v>
      </c>
      <c r="M3240">
        <v>0</v>
      </c>
      <c r="N3240">
        <v>0</v>
      </c>
      <c r="O3240">
        <v>0</v>
      </c>
      <c r="P3240">
        <v>0</v>
      </c>
      <c r="Q3240">
        <v>0</v>
      </c>
      <c r="R3240">
        <v>5</v>
      </c>
      <c r="S3240">
        <v>35</v>
      </c>
      <c r="T3240">
        <v>0</v>
      </c>
      <c r="V3240">
        <v>0</v>
      </c>
      <c r="W3240">
        <v>1106</v>
      </c>
    </row>
    <row r="3241" spans="1:23" x14ac:dyDescent="0.25">
      <c r="H3241">
        <v>703</v>
      </c>
    </row>
    <row r="3242" spans="1:23" x14ac:dyDescent="0.25">
      <c r="A3242">
        <v>1618</v>
      </c>
      <c r="B3242">
        <v>3033</v>
      </c>
      <c r="C3242" t="s">
        <v>4610</v>
      </c>
      <c r="D3242" t="s">
        <v>382</v>
      </c>
      <c r="E3242" t="s">
        <v>41</v>
      </c>
      <c r="F3242" t="s">
        <v>4611</v>
      </c>
      <c r="G3242" t="str">
        <f>"00225967"</f>
        <v>00225967</v>
      </c>
      <c r="H3242">
        <v>935</v>
      </c>
      <c r="I3242">
        <v>150</v>
      </c>
      <c r="J3242">
        <v>0</v>
      </c>
      <c r="K3242">
        <v>0</v>
      </c>
      <c r="L3242">
        <v>0</v>
      </c>
      <c r="M3242">
        <v>0</v>
      </c>
      <c r="N3242">
        <v>0</v>
      </c>
      <c r="O3242">
        <v>0</v>
      </c>
      <c r="P3242">
        <v>0</v>
      </c>
      <c r="Q3242">
        <v>0</v>
      </c>
      <c r="R3242">
        <v>3</v>
      </c>
      <c r="S3242">
        <v>21</v>
      </c>
      <c r="T3242">
        <v>0</v>
      </c>
      <c r="V3242">
        <v>0</v>
      </c>
      <c r="W3242">
        <v>1106</v>
      </c>
    </row>
    <row r="3243" spans="1:23" x14ac:dyDescent="0.25">
      <c r="H3243" t="s">
        <v>26</v>
      </c>
    </row>
    <row r="3244" spans="1:23" x14ac:dyDescent="0.25">
      <c r="A3244">
        <v>1619</v>
      </c>
      <c r="B3244">
        <v>263</v>
      </c>
      <c r="C3244" t="s">
        <v>4612</v>
      </c>
      <c r="D3244" t="s">
        <v>4613</v>
      </c>
      <c r="E3244" t="s">
        <v>109</v>
      </c>
      <c r="F3244" t="s">
        <v>4614</v>
      </c>
      <c r="G3244" t="str">
        <f>"00114470"</f>
        <v>00114470</v>
      </c>
      <c r="H3244">
        <v>1045</v>
      </c>
      <c r="I3244">
        <v>0</v>
      </c>
      <c r="J3244">
        <v>30</v>
      </c>
      <c r="K3244">
        <v>30</v>
      </c>
      <c r="L3244">
        <v>0</v>
      </c>
      <c r="M3244">
        <v>0</v>
      </c>
      <c r="N3244">
        <v>0</v>
      </c>
      <c r="O3244">
        <v>0</v>
      </c>
      <c r="P3244">
        <v>0</v>
      </c>
      <c r="Q3244">
        <v>0</v>
      </c>
      <c r="R3244">
        <v>0</v>
      </c>
      <c r="S3244">
        <v>0</v>
      </c>
      <c r="T3244">
        <v>0</v>
      </c>
      <c r="V3244">
        <v>0</v>
      </c>
      <c r="W3244">
        <v>1105</v>
      </c>
    </row>
    <row r="3245" spans="1:23" x14ac:dyDescent="0.25">
      <c r="H3245" t="s">
        <v>70</v>
      </c>
    </row>
    <row r="3246" spans="1:23" x14ac:dyDescent="0.25">
      <c r="A3246">
        <v>1620</v>
      </c>
      <c r="B3246">
        <v>2643</v>
      </c>
      <c r="C3246" t="s">
        <v>4615</v>
      </c>
      <c r="D3246" t="s">
        <v>46</v>
      </c>
      <c r="E3246" t="s">
        <v>1057</v>
      </c>
      <c r="F3246" t="s">
        <v>4616</v>
      </c>
      <c r="G3246" t="str">
        <f>"00224089"</f>
        <v>00224089</v>
      </c>
      <c r="H3246">
        <v>1034</v>
      </c>
      <c r="I3246">
        <v>0</v>
      </c>
      <c r="J3246">
        <v>70</v>
      </c>
      <c r="K3246">
        <v>0</v>
      </c>
      <c r="L3246">
        <v>0</v>
      </c>
      <c r="M3246">
        <v>0</v>
      </c>
      <c r="N3246">
        <v>0</v>
      </c>
      <c r="O3246">
        <v>0</v>
      </c>
      <c r="P3246">
        <v>0</v>
      </c>
      <c r="Q3246">
        <v>0</v>
      </c>
      <c r="R3246">
        <v>0</v>
      </c>
      <c r="S3246">
        <v>0</v>
      </c>
      <c r="T3246">
        <v>0</v>
      </c>
      <c r="V3246">
        <v>0</v>
      </c>
      <c r="W3246">
        <v>1104</v>
      </c>
    </row>
    <row r="3247" spans="1:23" x14ac:dyDescent="0.25">
      <c r="H3247">
        <v>703</v>
      </c>
    </row>
    <row r="3248" spans="1:23" x14ac:dyDescent="0.25">
      <c r="A3248">
        <v>1621</v>
      </c>
      <c r="B3248">
        <v>2240</v>
      </c>
      <c r="C3248" t="s">
        <v>4617</v>
      </c>
      <c r="D3248" t="s">
        <v>46</v>
      </c>
      <c r="E3248" t="s">
        <v>1678</v>
      </c>
      <c r="F3248" t="s">
        <v>4618</v>
      </c>
      <c r="G3248" t="str">
        <f>"200905000335"</f>
        <v>200905000335</v>
      </c>
      <c r="H3248">
        <v>1034</v>
      </c>
      <c r="I3248">
        <v>0</v>
      </c>
      <c r="J3248">
        <v>70</v>
      </c>
      <c r="K3248">
        <v>0</v>
      </c>
      <c r="L3248">
        <v>0</v>
      </c>
      <c r="M3248">
        <v>0</v>
      </c>
      <c r="N3248">
        <v>0</v>
      </c>
      <c r="O3248">
        <v>0</v>
      </c>
      <c r="P3248">
        <v>0</v>
      </c>
      <c r="Q3248">
        <v>0</v>
      </c>
      <c r="R3248">
        <v>0</v>
      </c>
      <c r="S3248">
        <v>0</v>
      </c>
      <c r="T3248">
        <v>0</v>
      </c>
      <c r="V3248">
        <v>0</v>
      </c>
      <c r="W3248">
        <v>1104</v>
      </c>
    </row>
    <row r="3249" spans="1:23" x14ac:dyDescent="0.25">
      <c r="H3249" t="s">
        <v>26</v>
      </c>
    </row>
    <row r="3250" spans="1:23" x14ac:dyDescent="0.25">
      <c r="A3250">
        <v>1622</v>
      </c>
      <c r="B3250">
        <v>1897</v>
      </c>
      <c r="C3250" t="s">
        <v>900</v>
      </c>
      <c r="D3250" t="s">
        <v>112</v>
      </c>
      <c r="E3250" t="s">
        <v>350</v>
      </c>
      <c r="F3250" t="s">
        <v>4619</v>
      </c>
      <c r="G3250" t="str">
        <f>"201511019660"</f>
        <v>201511019660</v>
      </c>
      <c r="H3250">
        <v>990</v>
      </c>
      <c r="I3250">
        <v>0</v>
      </c>
      <c r="J3250">
        <v>30</v>
      </c>
      <c r="K3250">
        <v>0</v>
      </c>
      <c r="L3250">
        <v>0</v>
      </c>
      <c r="M3250">
        <v>0</v>
      </c>
      <c r="N3250">
        <v>0</v>
      </c>
      <c r="O3250">
        <v>0</v>
      </c>
      <c r="P3250">
        <v>0</v>
      </c>
      <c r="Q3250">
        <v>0</v>
      </c>
      <c r="R3250">
        <v>12</v>
      </c>
      <c r="S3250">
        <v>84</v>
      </c>
      <c r="T3250">
        <v>0</v>
      </c>
      <c r="V3250">
        <v>0</v>
      </c>
      <c r="W3250">
        <v>1104</v>
      </c>
    </row>
    <row r="3251" spans="1:23" x14ac:dyDescent="0.25">
      <c r="H3251">
        <v>703</v>
      </c>
    </row>
    <row r="3252" spans="1:23" x14ac:dyDescent="0.25">
      <c r="A3252">
        <v>1623</v>
      </c>
      <c r="B3252">
        <v>1336</v>
      </c>
      <c r="C3252" t="s">
        <v>4620</v>
      </c>
      <c r="D3252" t="s">
        <v>273</v>
      </c>
      <c r="E3252" t="s">
        <v>4286</v>
      </c>
      <c r="F3252" t="s">
        <v>4621</v>
      </c>
      <c r="G3252" t="str">
        <f>"00199861"</f>
        <v>00199861</v>
      </c>
      <c r="H3252" t="s">
        <v>4622</v>
      </c>
      <c r="I3252">
        <v>0</v>
      </c>
      <c r="J3252">
        <v>0</v>
      </c>
      <c r="K3252">
        <v>0</v>
      </c>
      <c r="L3252">
        <v>0</v>
      </c>
      <c r="M3252">
        <v>0</v>
      </c>
      <c r="N3252">
        <v>0</v>
      </c>
      <c r="O3252">
        <v>0</v>
      </c>
      <c r="P3252">
        <v>0</v>
      </c>
      <c r="Q3252">
        <v>0</v>
      </c>
      <c r="R3252">
        <v>45</v>
      </c>
      <c r="S3252">
        <v>315</v>
      </c>
      <c r="T3252">
        <v>0</v>
      </c>
      <c r="V3252">
        <v>0</v>
      </c>
      <c r="W3252" t="s">
        <v>4623</v>
      </c>
    </row>
    <row r="3253" spans="1:23" x14ac:dyDescent="0.25">
      <c r="H3253">
        <v>703</v>
      </c>
    </row>
    <row r="3254" spans="1:23" x14ac:dyDescent="0.25">
      <c r="A3254">
        <v>1624</v>
      </c>
      <c r="B3254">
        <v>793</v>
      </c>
      <c r="C3254" t="s">
        <v>2100</v>
      </c>
      <c r="D3254" t="s">
        <v>273</v>
      </c>
      <c r="E3254" t="s">
        <v>1166</v>
      </c>
      <c r="F3254" t="s">
        <v>4624</v>
      </c>
      <c r="G3254" t="str">
        <f>"201406000330"</f>
        <v>201406000330</v>
      </c>
      <c r="H3254">
        <v>1023</v>
      </c>
      <c r="I3254">
        <v>0</v>
      </c>
      <c r="J3254">
        <v>50</v>
      </c>
      <c r="K3254">
        <v>30</v>
      </c>
      <c r="L3254">
        <v>0</v>
      </c>
      <c r="M3254">
        <v>0</v>
      </c>
      <c r="N3254">
        <v>0</v>
      </c>
      <c r="O3254">
        <v>0</v>
      </c>
      <c r="P3254">
        <v>0</v>
      </c>
      <c r="Q3254">
        <v>0</v>
      </c>
      <c r="R3254">
        <v>0</v>
      </c>
      <c r="S3254">
        <v>0</v>
      </c>
      <c r="T3254">
        <v>0</v>
      </c>
      <c r="V3254">
        <v>0</v>
      </c>
      <c r="W3254">
        <v>1103</v>
      </c>
    </row>
    <row r="3255" spans="1:23" x14ac:dyDescent="0.25">
      <c r="H3255" t="s">
        <v>26</v>
      </c>
    </row>
    <row r="3256" spans="1:23" x14ac:dyDescent="0.25">
      <c r="A3256">
        <v>1625</v>
      </c>
      <c r="B3256">
        <v>236</v>
      </c>
      <c r="C3256" t="s">
        <v>4625</v>
      </c>
      <c r="D3256" t="s">
        <v>28</v>
      </c>
      <c r="E3256" t="s">
        <v>207</v>
      </c>
      <c r="F3256" t="s">
        <v>4626</v>
      </c>
      <c r="G3256" t="str">
        <f>"201402001955"</f>
        <v>201402001955</v>
      </c>
      <c r="H3256" t="s">
        <v>137</v>
      </c>
      <c r="I3256">
        <v>0</v>
      </c>
      <c r="J3256">
        <v>30</v>
      </c>
      <c r="K3256">
        <v>0</v>
      </c>
      <c r="L3256">
        <v>0</v>
      </c>
      <c r="M3256">
        <v>0</v>
      </c>
      <c r="N3256">
        <v>0</v>
      </c>
      <c r="O3256">
        <v>0</v>
      </c>
      <c r="P3256">
        <v>0</v>
      </c>
      <c r="Q3256">
        <v>0</v>
      </c>
      <c r="R3256">
        <v>0</v>
      </c>
      <c r="S3256">
        <v>0</v>
      </c>
      <c r="T3256">
        <v>0</v>
      </c>
      <c r="V3256">
        <v>0</v>
      </c>
      <c r="W3256" t="s">
        <v>4627</v>
      </c>
    </row>
    <row r="3257" spans="1:23" x14ac:dyDescent="0.25">
      <c r="H3257">
        <v>703</v>
      </c>
    </row>
    <row r="3258" spans="1:23" x14ac:dyDescent="0.25">
      <c r="A3258">
        <v>1626</v>
      </c>
      <c r="B3258">
        <v>2314</v>
      </c>
      <c r="C3258" t="s">
        <v>4628</v>
      </c>
      <c r="D3258" t="s">
        <v>76</v>
      </c>
      <c r="E3258" t="s">
        <v>156</v>
      </c>
      <c r="F3258" t="s">
        <v>4629</v>
      </c>
      <c r="G3258" t="str">
        <f>"00211949"</f>
        <v>00211949</v>
      </c>
      <c r="H3258">
        <v>605</v>
      </c>
      <c r="I3258">
        <v>0</v>
      </c>
      <c r="J3258">
        <v>0</v>
      </c>
      <c r="K3258">
        <v>0</v>
      </c>
      <c r="L3258">
        <v>0</v>
      </c>
      <c r="M3258">
        <v>0</v>
      </c>
      <c r="N3258">
        <v>0</v>
      </c>
      <c r="O3258">
        <v>0</v>
      </c>
      <c r="P3258">
        <v>0</v>
      </c>
      <c r="Q3258">
        <v>0</v>
      </c>
      <c r="R3258">
        <v>71</v>
      </c>
      <c r="S3258">
        <v>497</v>
      </c>
      <c r="T3258">
        <v>0</v>
      </c>
      <c r="V3258">
        <v>0</v>
      </c>
      <c r="W3258">
        <v>1102</v>
      </c>
    </row>
    <row r="3259" spans="1:23" x14ac:dyDescent="0.25">
      <c r="H3259">
        <v>703</v>
      </c>
    </row>
    <row r="3260" spans="1:23" x14ac:dyDescent="0.25">
      <c r="A3260">
        <v>1627</v>
      </c>
      <c r="B3260">
        <v>1980</v>
      </c>
      <c r="C3260" t="s">
        <v>4630</v>
      </c>
      <c r="D3260" t="s">
        <v>1152</v>
      </c>
      <c r="E3260" t="s">
        <v>62</v>
      </c>
      <c r="F3260" t="s">
        <v>4631</v>
      </c>
      <c r="G3260" t="str">
        <f>"201406012603"</f>
        <v>201406012603</v>
      </c>
      <c r="H3260" t="s">
        <v>217</v>
      </c>
      <c r="I3260">
        <v>150</v>
      </c>
      <c r="J3260">
        <v>0</v>
      </c>
      <c r="K3260">
        <v>0</v>
      </c>
      <c r="L3260">
        <v>0</v>
      </c>
      <c r="M3260">
        <v>0</v>
      </c>
      <c r="N3260">
        <v>0</v>
      </c>
      <c r="O3260">
        <v>0</v>
      </c>
      <c r="P3260">
        <v>0</v>
      </c>
      <c r="Q3260">
        <v>0</v>
      </c>
      <c r="R3260">
        <v>0</v>
      </c>
      <c r="S3260">
        <v>0</v>
      </c>
      <c r="T3260">
        <v>0</v>
      </c>
      <c r="V3260">
        <v>0</v>
      </c>
      <c r="W3260" t="s">
        <v>4632</v>
      </c>
    </row>
    <row r="3261" spans="1:23" x14ac:dyDescent="0.25">
      <c r="H3261" t="s">
        <v>3704</v>
      </c>
    </row>
    <row r="3262" spans="1:23" x14ac:dyDescent="0.25">
      <c r="A3262">
        <v>1628</v>
      </c>
      <c r="B3262">
        <v>348</v>
      </c>
      <c r="C3262" t="s">
        <v>4633</v>
      </c>
      <c r="D3262" t="s">
        <v>1476</v>
      </c>
      <c r="E3262" t="s">
        <v>88</v>
      </c>
      <c r="F3262" t="s">
        <v>4634</v>
      </c>
      <c r="G3262" t="str">
        <f>"200801008075"</f>
        <v>200801008075</v>
      </c>
      <c r="H3262" t="s">
        <v>4635</v>
      </c>
      <c r="I3262">
        <v>0</v>
      </c>
      <c r="J3262">
        <v>0</v>
      </c>
      <c r="K3262">
        <v>0</v>
      </c>
      <c r="L3262">
        <v>70</v>
      </c>
      <c r="M3262">
        <v>0</v>
      </c>
      <c r="N3262">
        <v>0</v>
      </c>
      <c r="O3262">
        <v>0</v>
      </c>
      <c r="P3262">
        <v>0</v>
      </c>
      <c r="Q3262">
        <v>0</v>
      </c>
      <c r="R3262">
        <v>84</v>
      </c>
      <c r="S3262">
        <v>588</v>
      </c>
      <c r="T3262">
        <v>0</v>
      </c>
      <c r="V3262">
        <v>0</v>
      </c>
      <c r="W3262" t="s">
        <v>4636</v>
      </c>
    </row>
    <row r="3263" spans="1:23" x14ac:dyDescent="0.25">
      <c r="H3263">
        <v>703</v>
      </c>
    </row>
    <row r="3264" spans="1:23" x14ac:dyDescent="0.25">
      <c r="A3264">
        <v>1629</v>
      </c>
      <c r="B3264">
        <v>2885</v>
      </c>
      <c r="C3264" t="s">
        <v>4637</v>
      </c>
      <c r="D3264" t="s">
        <v>28</v>
      </c>
      <c r="E3264" t="s">
        <v>109</v>
      </c>
      <c r="F3264" t="s">
        <v>4638</v>
      </c>
      <c r="G3264" t="str">
        <f>"201504004739"</f>
        <v>201504004739</v>
      </c>
      <c r="H3264">
        <v>968</v>
      </c>
      <c r="I3264">
        <v>0</v>
      </c>
      <c r="J3264">
        <v>70</v>
      </c>
      <c r="K3264">
        <v>0</v>
      </c>
      <c r="L3264">
        <v>0</v>
      </c>
      <c r="M3264">
        <v>0</v>
      </c>
      <c r="N3264">
        <v>0</v>
      </c>
      <c r="O3264">
        <v>0</v>
      </c>
      <c r="P3264">
        <v>0</v>
      </c>
      <c r="Q3264">
        <v>0</v>
      </c>
      <c r="R3264">
        <v>9</v>
      </c>
      <c r="S3264">
        <v>63</v>
      </c>
      <c r="T3264">
        <v>0</v>
      </c>
      <c r="V3264">
        <v>0</v>
      </c>
      <c r="W3264">
        <v>1101</v>
      </c>
    </row>
    <row r="3265" spans="1:23" x14ac:dyDescent="0.25">
      <c r="H3265" t="s">
        <v>26</v>
      </c>
    </row>
    <row r="3266" spans="1:23" x14ac:dyDescent="0.25">
      <c r="A3266">
        <v>1630</v>
      </c>
      <c r="B3266">
        <v>2004</v>
      </c>
      <c r="C3266" t="s">
        <v>4639</v>
      </c>
      <c r="D3266" t="s">
        <v>91</v>
      </c>
      <c r="E3266" t="s">
        <v>424</v>
      </c>
      <c r="F3266" t="s">
        <v>4640</v>
      </c>
      <c r="G3266" t="str">
        <f>"201406008675"</f>
        <v>201406008675</v>
      </c>
      <c r="H3266">
        <v>924</v>
      </c>
      <c r="I3266">
        <v>0</v>
      </c>
      <c r="J3266">
        <v>30</v>
      </c>
      <c r="K3266">
        <v>0</v>
      </c>
      <c r="L3266">
        <v>0</v>
      </c>
      <c r="M3266">
        <v>0</v>
      </c>
      <c r="N3266">
        <v>0</v>
      </c>
      <c r="O3266">
        <v>0</v>
      </c>
      <c r="P3266">
        <v>0</v>
      </c>
      <c r="Q3266">
        <v>0</v>
      </c>
      <c r="R3266">
        <v>21</v>
      </c>
      <c r="S3266">
        <v>147</v>
      </c>
      <c r="T3266">
        <v>0</v>
      </c>
      <c r="V3266">
        <v>0</v>
      </c>
      <c r="W3266">
        <v>1101</v>
      </c>
    </row>
    <row r="3267" spans="1:23" x14ac:dyDescent="0.25">
      <c r="H3267">
        <v>703</v>
      </c>
    </row>
    <row r="3268" spans="1:23" x14ac:dyDescent="0.25">
      <c r="A3268">
        <v>1631</v>
      </c>
      <c r="B3268">
        <v>194</v>
      </c>
      <c r="C3268" t="s">
        <v>4641</v>
      </c>
      <c r="D3268" t="s">
        <v>1670</v>
      </c>
      <c r="E3268" t="s">
        <v>24</v>
      </c>
      <c r="F3268" t="s">
        <v>4642</v>
      </c>
      <c r="G3268" t="str">
        <f>"00161663"</f>
        <v>00161663</v>
      </c>
      <c r="H3268">
        <v>880</v>
      </c>
      <c r="I3268">
        <v>0</v>
      </c>
      <c r="J3268">
        <v>30</v>
      </c>
      <c r="K3268">
        <v>0</v>
      </c>
      <c r="L3268">
        <v>0</v>
      </c>
      <c r="M3268">
        <v>30</v>
      </c>
      <c r="N3268">
        <v>0</v>
      </c>
      <c r="O3268">
        <v>0</v>
      </c>
      <c r="P3268">
        <v>0</v>
      </c>
      <c r="Q3268">
        <v>0</v>
      </c>
      <c r="R3268">
        <v>23</v>
      </c>
      <c r="S3268">
        <v>161</v>
      </c>
      <c r="T3268">
        <v>0</v>
      </c>
      <c r="V3268">
        <v>0</v>
      </c>
      <c r="W3268">
        <v>1101</v>
      </c>
    </row>
    <row r="3269" spans="1:23" x14ac:dyDescent="0.25">
      <c r="H3269" t="s">
        <v>70</v>
      </c>
    </row>
    <row r="3270" spans="1:23" x14ac:dyDescent="0.25">
      <c r="A3270">
        <v>1632</v>
      </c>
      <c r="B3270">
        <v>1529</v>
      </c>
      <c r="C3270" t="s">
        <v>4643</v>
      </c>
      <c r="D3270" t="s">
        <v>597</v>
      </c>
      <c r="E3270" t="s">
        <v>53</v>
      </c>
      <c r="F3270" t="s">
        <v>4644</v>
      </c>
      <c r="G3270" t="str">
        <f>"00041731"</f>
        <v>00041731</v>
      </c>
      <c r="H3270" t="s">
        <v>1124</v>
      </c>
      <c r="I3270">
        <v>0</v>
      </c>
      <c r="J3270">
        <v>70</v>
      </c>
      <c r="K3270">
        <v>0</v>
      </c>
      <c r="L3270">
        <v>0</v>
      </c>
      <c r="M3270">
        <v>0</v>
      </c>
      <c r="N3270">
        <v>0</v>
      </c>
      <c r="O3270">
        <v>0</v>
      </c>
      <c r="P3270">
        <v>0</v>
      </c>
      <c r="Q3270">
        <v>0</v>
      </c>
      <c r="R3270">
        <v>0</v>
      </c>
      <c r="S3270">
        <v>0</v>
      </c>
      <c r="T3270">
        <v>0</v>
      </c>
      <c r="V3270">
        <v>3</v>
      </c>
      <c r="W3270" t="s">
        <v>4645</v>
      </c>
    </row>
    <row r="3271" spans="1:23" x14ac:dyDescent="0.25">
      <c r="H3271">
        <v>703</v>
      </c>
    </row>
    <row r="3272" spans="1:23" x14ac:dyDescent="0.25">
      <c r="A3272">
        <v>1633</v>
      </c>
      <c r="B3272">
        <v>1406</v>
      </c>
      <c r="C3272" t="s">
        <v>2188</v>
      </c>
      <c r="D3272" t="s">
        <v>4646</v>
      </c>
      <c r="E3272" t="s">
        <v>41</v>
      </c>
      <c r="F3272" t="s">
        <v>4647</v>
      </c>
      <c r="G3272" t="str">
        <f>"00155776"</f>
        <v>00155776</v>
      </c>
      <c r="H3272" t="s">
        <v>318</v>
      </c>
      <c r="I3272">
        <v>150</v>
      </c>
      <c r="J3272">
        <v>30</v>
      </c>
      <c r="K3272">
        <v>0</v>
      </c>
      <c r="L3272">
        <v>0</v>
      </c>
      <c r="M3272">
        <v>0</v>
      </c>
      <c r="N3272">
        <v>0</v>
      </c>
      <c r="O3272">
        <v>0</v>
      </c>
      <c r="P3272">
        <v>0</v>
      </c>
      <c r="Q3272">
        <v>0</v>
      </c>
      <c r="R3272">
        <v>0</v>
      </c>
      <c r="S3272">
        <v>0</v>
      </c>
      <c r="T3272">
        <v>0</v>
      </c>
      <c r="V3272">
        <v>1</v>
      </c>
      <c r="W3272" t="s">
        <v>4645</v>
      </c>
    </row>
    <row r="3273" spans="1:23" x14ac:dyDescent="0.25">
      <c r="H3273">
        <v>703</v>
      </c>
    </row>
    <row r="3274" spans="1:23" x14ac:dyDescent="0.25">
      <c r="A3274">
        <v>1634</v>
      </c>
      <c r="B3274">
        <v>881</v>
      </c>
      <c r="C3274" t="s">
        <v>4648</v>
      </c>
      <c r="D3274" t="s">
        <v>219</v>
      </c>
      <c r="E3274" t="s">
        <v>76</v>
      </c>
      <c r="F3274" t="s">
        <v>4649</v>
      </c>
      <c r="G3274" t="str">
        <f>"201511031009"</f>
        <v>201511031009</v>
      </c>
      <c r="H3274">
        <v>1100</v>
      </c>
      <c r="I3274">
        <v>0</v>
      </c>
      <c r="J3274">
        <v>0</v>
      </c>
      <c r="K3274">
        <v>0</v>
      </c>
      <c r="L3274">
        <v>0</v>
      </c>
      <c r="M3274">
        <v>0</v>
      </c>
      <c r="N3274">
        <v>0</v>
      </c>
      <c r="O3274">
        <v>0</v>
      </c>
      <c r="P3274">
        <v>0</v>
      </c>
      <c r="Q3274">
        <v>0</v>
      </c>
      <c r="R3274">
        <v>0</v>
      </c>
      <c r="S3274">
        <v>0</v>
      </c>
      <c r="T3274">
        <v>0</v>
      </c>
      <c r="V3274">
        <v>1</v>
      </c>
      <c r="W3274">
        <v>1100</v>
      </c>
    </row>
    <row r="3275" spans="1:23" x14ac:dyDescent="0.25">
      <c r="H3275">
        <v>703</v>
      </c>
    </row>
    <row r="3276" spans="1:23" x14ac:dyDescent="0.25">
      <c r="A3276">
        <v>1635</v>
      </c>
      <c r="B3276">
        <v>2555</v>
      </c>
      <c r="C3276" t="s">
        <v>412</v>
      </c>
      <c r="D3276" t="s">
        <v>1684</v>
      </c>
      <c r="E3276" t="s">
        <v>1633</v>
      </c>
      <c r="F3276" t="s">
        <v>4650</v>
      </c>
      <c r="G3276" t="str">
        <f>"201412004451"</f>
        <v>201412004451</v>
      </c>
      <c r="H3276">
        <v>880</v>
      </c>
      <c r="I3276">
        <v>150</v>
      </c>
      <c r="J3276">
        <v>70</v>
      </c>
      <c r="K3276">
        <v>0</v>
      </c>
      <c r="L3276">
        <v>0</v>
      </c>
      <c r="M3276">
        <v>0</v>
      </c>
      <c r="N3276">
        <v>0</v>
      </c>
      <c r="O3276">
        <v>0</v>
      </c>
      <c r="P3276">
        <v>0</v>
      </c>
      <c r="Q3276">
        <v>0</v>
      </c>
      <c r="R3276">
        <v>0</v>
      </c>
      <c r="S3276">
        <v>0</v>
      </c>
      <c r="T3276">
        <v>0</v>
      </c>
      <c r="V3276">
        <v>0</v>
      </c>
      <c r="W3276">
        <v>1100</v>
      </c>
    </row>
    <row r="3277" spans="1:23" x14ac:dyDescent="0.25">
      <c r="H3277">
        <v>703</v>
      </c>
    </row>
    <row r="3278" spans="1:23" x14ac:dyDescent="0.25">
      <c r="A3278">
        <v>1636</v>
      </c>
      <c r="B3278">
        <v>1059</v>
      </c>
      <c r="C3278" t="s">
        <v>4651</v>
      </c>
      <c r="D3278" t="s">
        <v>46</v>
      </c>
      <c r="E3278" t="s">
        <v>752</v>
      </c>
      <c r="F3278" t="s">
        <v>4652</v>
      </c>
      <c r="G3278" t="str">
        <f>"00227213"</f>
        <v>00227213</v>
      </c>
      <c r="H3278" t="s">
        <v>1663</v>
      </c>
      <c r="I3278">
        <v>0</v>
      </c>
      <c r="J3278">
        <v>0</v>
      </c>
      <c r="K3278">
        <v>0</v>
      </c>
      <c r="L3278">
        <v>0</v>
      </c>
      <c r="M3278">
        <v>0</v>
      </c>
      <c r="N3278">
        <v>0</v>
      </c>
      <c r="O3278">
        <v>0</v>
      </c>
      <c r="P3278">
        <v>0</v>
      </c>
      <c r="Q3278">
        <v>0</v>
      </c>
      <c r="R3278">
        <v>13</v>
      </c>
      <c r="S3278">
        <v>91</v>
      </c>
      <c r="T3278">
        <v>0</v>
      </c>
      <c r="V3278">
        <v>0</v>
      </c>
      <c r="W3278" t="s">
        <v>4653</v>
      </c>
    </row>
    <row r="3279" spans="1:23" x14ac:dyDescent="0.25">
      <c r="H3279">
        <v>703</v>
      </c>
    </row>
    <row r="3280" spans="1:23" x14ac:dyDescent="0.25">
      <c r="A3280">
        <v>1637</v>
      </c>
      <c r="B3280">
        <v>276</v>
      </c>
      <c r="C3280" t="s">
        <v>4654</v>
      </c>
      <c r="D3280" t="s">
        <v>140</v>
      </c>
      <c r="E3280" t="s">
        <v>76</v>
      </c>
      <c r="F3280" t="s">
        <v>4655</v>
      </c>
      <c r="G3280" t="str">
        <f>"201406006994"</f>
        <v>201406006994</v>
      </c>
      <c r="H3280" t="s">
        <v>281</v>
      </c>
      <c r="I3280">
        <v>0</v>
      </c>
      <c r="J3280">
        <v>30</v>
      </c>
      <c r="K3280">
        <v>30</v>
      </c>
      <c r="L3280">
        <v>0</v>
      </c>
      <c r="M3280">
        <v>0</v>
      </c>
      <c r="N3280">
        <v>0</v>
      </c>
      <c r="O3280">
        <v>0</v>
      </c>
      <c r="P3280">
        <v>0</v>
      </c>
      <c r="Q3280">
        <v>0</v>
      </c>
      <c r="R3280">
        <v>0</v>
      </c>
      <c r="S3280">
        <v>0</v>
      </c>
      <c r="T3280">
        <v>0</v>
      </c>
      <c r="V3280">
        <v>0</v>
      </c>
      <c r="W3280" t="s">
        <v>4656</v>
      </c>
    </row>
    <row r="3281" spans="1:23" x14ac:dyDescent="0.25">
      <c r="H3281" t="s">
        <v>70</v>
      </c>
    </row>
    <row r="3282" spans="1:23" x14ac:dyDescent="0.25">
      <c r="A3282">
        <v>1638</v>
      </c>
      <c r="B3282">
        <v>192</v>
      </c>
      <c r="C3282" t="s">
        <v>4657</v>
      </c>
      <c r="D3282" t="s">
        <v>15</v>
      </c>
      <c r="E3282" t="s">
        <v>607</v>
      </c>
      <c r="F3282" t="s">
        <v>4658</v>
      </c>
      <c r="G3282" t="str">
        <f>"00221741"</f>
        <v>00221741</v>
      </c>
      <c r="H3282" t="s">
        <v>281</v>
      </c>
      <c r="I3282">
        <v>0</v>
      </c>
      <c r="J3282">
        <v>30</v>
      </c>
      <c r="K3282">
        <v>0</v>
      </c>
      <c r="L3282">
        <v>30</v>
      </c>
      <c r="M3282">
        <v>0</v>
      </c>
      <c r="N3282">
        <v>0</v>
      </c>
      <c r="O3282">
        <v>0</v>
      </c>
      <c r="P3282">
        <v>0</v>
      </c>
      <c r="Q3282">
        <v>0</v>
      </c>
      <c r="R3282">
        <v>0</v>
      </c>
      <c r="S3282">
        <v>0</v>
      </c>
      <c r="T3282">
        <v>0</v>
      </c>
      <c r="V3282">
        <v>0</v>
      </c>
      <c r="W3282" t="s">
        <v>4656</v>
      </c>
    </row>
    <row r="3283" spans="1:23" x14ac:dyDescent="0.25">
      <c r="H3283" t="s">
        <v>26</v>
      </c>
    </row>
    <row r="3284" spans="1:23" x14ac:dyDescent="0.25">
      <c r="A3284">
        <v>1639</v>
      </c>
      <c r="B3284">
        <v>2741</v>
      </c>
      <c r="C3284" t="s">
        <v>4659</v>
      </c>
      <c r="D3284" t="s">
        <v>273</v>
      </c>
      <c r="E3284" t="s">
        <v>53</v>
      </c>
      <c r="F3284" t="s">
        <v>4660</v>
      </c>
      <c r="G3284" t="str">
        <f>"201406010977"</f>
        <v>201406010977</v>
      </c>
      <c r="H3284" t="s">
        <v>1218</v>
      </c>
      <c r="I3284">
        <v>0</v>
      </c>
      <c r="J3284">
        <v>30</v>
      </c>
      <c r="K3284">
        <v>0</v>
      </c>
      <c r="L3284">
        <v>0</v>
      </c>
      <c r="M3284">
        <v>0</v>
      </c>
      <c r="N3284">
        <v>0</v>
      </c>
      <c r="O3284">
        <v>0</v>
      </c>
      <c r="P3284">
        <v>0</v>
      </c>
      <c r="Q3284">
        <v>0</v>
      </c>
      <c r="R3284">
        <v>0</v>
      </c>
      <c r="S3284">
        <v>0</v>
      </c>
      <c r="T3284">
        <v>0</v>
      </c>
      <c r="V3284">
        <v>1</v>
      </c>
      <c r="W3284" t="s">
        <v>4661</v>
      </c>
    </row>
    <row r="3285" spans="1:23" x14ac:dyDescent="0.25">
      <c r="H3285">
        <v>703</v>
      </c>
    </row>
    <row r="3286" spans="1:23" x14ac:dyDescent="0.25">
      <c r="A3286">
        <v>1640</v>
      </c>
      <c r="B3286">
        <v>1011</v>
      </c>
      <c r="C3286" t="s">
        <v>4662</v>
      </c>
      <c r="D3286" t="s">
        <v>20</v>
      </c>
      <c r="E3286" t="s">
        <v>109</v>
      </c>
      <c r="F3286" t="s">
        <v>4663</v>
      </c>
      <c r="G3286" t="str">
        <f>"00107863"</f>
        <v>00107863</v>
      </c>
      <c r="H3286">
        <v>880</v>
      </c>
      <c r="I3286">
        <v>0</v>
      </c>
      <c r="J3286">
        <v>30</v>
      </c>
      <c r="K3286">
        <v>0</v>
      </c>
      <c r="L3286">
        <v>0</v>
      </c>
      <c r="M3286">
        <v>0</v>
      </c>
      <c r="N3286">
        <v>0</v>
      </c>
      <c r="O3286">
        <v>0</v>
      </c>
      <c r="P3286">
        <v>0</v>
      </c>
      <c r="Q3286">
        <v>0</v>
      </c>
      <c r="R3286">
        <v>27</v>
      </c>
      <c r="S3286">
        <v>189</v>
      </c>
      <c r="T3286">
        <v>0</v>
      </c>
      <c r="V3286">
        <v>0</v>
      </c>
      <c r="W3286">
        <v>1099</v>
      </c>
    </row>
    <row r="3287" spans="1:23" x14ac:dyDescent="0.25">
      <c r="H3287">
        <v>703</v>
      </c>
    </row>
    <row r="3288" spans="1:23" x14ac:dyDescent="0.25">
      <c r="A3288">
        <v>1641</v>
      </c>
      <c r="B3288">
        <v>2473</v>
      </c>
      <c r="C3288" t="s">
        <v>4664</v>
      </c>
      <c r="D3288" t="s">
        <v>28</v>
      </c>
      <c r="E3288" t="s">
        <v>1818</v>
      </c>
      <c r="F3288" t="s">
        <v>4665</v>
      </c>
      <c r="G3288" t="str">
        <f>"201511022030"</f>
        <v>201511022030</v>
      </c>
      <c r="H3288">
        <v>814</v>
      </c>
      <c r="I3288">
        <v>150</v>
      </c>
      <c r="J3288">
        <v>30</v>
      </c>
      <c r="K3288">
        <v>70</v>
      </c>
      <c r="L3288">
        <v>0</v>
      </c>
      <c r="M3288">
        <v>0</v>
      </c>
      <c r="N3288">
        <v>0</v>
      </c>
      <c r="O3288">
        <v>0</v>
      </c>
      <c r="P3288">
        <v>0</v>
      </c>
      <c r="Q3288">
        <v>0</v>
      </c>
      <c r="R3288">
        <v>5</v>
      </c>
      <c r="S3288">
        <v>35</v>
      </c>
      <c r="T3288">
        <v>0</v>
      </c>
      <c r="V3288">
        <v>0</v>
      </c>
      <c r="W3288">
        <v>1099</v>
      </c>
    </row>
    <row r="3289" spans="1:23" x14ac:dyDescent="0.25">
      <c r="H3289" t="s">
        <v>70</v>
      </c>
    </row>
    <row r="3290" spans="1:23" x14ac:dyDescent="0.25">
      <c r="A3290">
        <v>1642</v>
      </c>
      <c r="B3290">
        <v>1747</v>
      </c>
      <c r="C3290" t="s">
        <v>4438</v>
      </c>
      <c r="D3290" t="s">
        <v>273</v>
      </c>
      <c r="E3290" t="s">
        <v>482</v>
      </c>
      <c r="F3290" t="s">
        <v>4666</v>
      </c>
      <c r="G3290" t="str">
        <f>"201601000171"</f>
        <v>201601000171</v>
      </c>
      <c r="H3290" t="s">
        <v>1844</v>
      </c>
      <c r="I3290">
        <v>0</v>
      </c>
      <c r="J3290">
        <v>0</v>
      </c>
      <c r="K3290">
        <v>0</v>
      </c>
      <c r="L3290">
        <v>0</v>
      </c>
      <c r="M3290">
        <v>0</v>
      </c>
      <c r="N3290">
        <v>0</v>
      </c>
      <c r="O3290">
        <v>0</v>
      </c>
      <c r="P3290">
        <v>0</v>
      </c>
      <c r="Q3290">
        <v>0</v>
      </c>
      <c r="R3290">
        <v>16</v>
      </c>
      <c r="S3290">
        <v>112</v>
      </c>
      <c r="T3290">
        <v>0</v>
      </c>
      <c r="V3290">
        <v>2</v>
      </c>
      <c r="W3290" t="s">
        <v>4667</v>
      </c>
    </row>
    <row r="3291" spans="1:23" x14ac:dyDescent="0.25">
      <c r="H3291">
        <v>703</v>
      </c>
    </row>
    <row r="3292" spans="1:23" x14ac:dyDescent="0.25">
      <c r="A3292">
        <v>1643</v>
      </c>
      <c r="B3292">
        <v>1395</v>
      </c>
      <c r="C3292" t="s">
        <v>4668</v>
      </c>
      <c r="D3292" t="s">
        <v>811</v>
      </c>
      <c r="E3292" t="s">
        <v>15</v>
      </c>
      <c r="F3292" t="s">
        <v>4669</v>
      </c>
      <c r="G3292" t="str">
        <f>"200808000753"</f>
        <v>200808000753</v>
      </c>
      <c r="H3292" t="s">
        <v>1532</v>
      </c>
      <c r="I3292">
        <v>0</v>
      </c>
      <c r="J3292">
        <v>0</v>
      </c>
      <c r="K3292">
        <v>0</v>
      </c>
      <c r="L3292">
        <v>0</v>
      </c>
      <c r="M3292">
        <v>0</v>
      </c>
      <c r="N3292">
        <v>0</v>
      </c>
      <c r="O3292">
        <v>0</v>
      </c>
      <c r="P3292">
        <v>0</v>
      </c>
      <c r="Q3292">
        <v>0</v>
      </c>
      <c r="R3292">
        <v>24</v>
      </c>
      <c r="S3292">
        <v>168</v>
      </c>
      <c r="T3292">
        <v>0</v>
      </c>
      <c r="V3292">
        <v>0</v>
      </c>
      <c r="W3292" t="s">
        <v>4670</v>
      </c>
    </row>
    <row r="3293" spans="1:23" x14ac:dyDescent="0.25">
      <c r="H3293" t="s">
        <v>70</v>
      </c>
    </row>
    <row r="3294" spans="1:23" x14ac:dyDescent="0.25">
      <c r="A3294">
        <v>1644</v>
      </c>
      <c r="B3294">
        <v>1397</v>
      </c>
      <c r="C3294" t="s">
        <v>4671</v>
      </c>
      <c r="D3294" t="s">
        <v>285</v>
      </c>
      <c r="E3294" t="s">
        <v>105</v>
      </c>
      <c r="F3294" t="s">
        <v>4672</v>
      </c>
      <c r="G3294" t="str">
        <f>"00015185"</f>
        <v>00015185</v>
      </c>
      <c r="H3294">
        <v>1067</v>
      </c>
      <c r="I3294">
        <v>0</v>
      </c>
      <c r="J3294">
        <v>30</v>
      </c>
      <c r="K3294">
        <v>0</v>
      </c>
      <c r="L3294">
        <v>0</v>
      </c>
      <c r="M3294">
        <v>0</v>
      </c>
      <c r="N3294">
        <v>0</v>
      </c>
      <c r="O3294">
        <v>0</v>
      </c>
      <c r="P3294">
        <v>0</v>
      </c>
      <c r="Q3294">
        <v>0</v>
      </c>
      <c r="R3294">
        <v>0</v>
      </c>
      <c r="S3294">
        <v>0</v>
      </c>
      <c r="T3294">
        <v>0</v>
      </c>
      <c r="V3294">
        <v>0</v>
      </c>
      <c r="W3294">
        <v>1097</v>
      </c>
    </row>
    <row r="3295" spans="1:23" x14ac:dyDescent="0.25">
      <c r="H3295" t="s">
        <v>26</v>
      </c>
    </row>
    <row r="3296" spans="1:23" x14ac:dyDescent="0.25">
      <c r="A3296">
        <v>1645</v>
      </c>
      <c r="B3296">
        <v>218</v>
      </c>
      <c r="C3296" t="s">
        <v>4673</v>
      </c>
      <c r="D3296" t="s">
        <v>140</v>
      </c>
      <c r="E3296" t="s">
        <v>15</v>
      </c>
      <c r="F3296" t="s">
        <v>4674</v>
      </c>
      <c r="G3296" t="str">
        <f>"00224919"</f>
        <v>00224919</v>
      </c>
      <c r="H3296">
        <v>1067</v>
      </c>
      <c r="I3296">
        <v>0</v>
      </c>
      <c r="J3296">
        <v>30</v>
      </c>
      <c r="K3296">
        <v>0</v>
      </c>
      <c r="L3296">
        <v>0</v>
      </c>
      <c r="M3296">
        <v>0</v>
      </c>
      <c r="N3296">
        <v>0</v>
      </c>
      <c r="O3296">
        <v>0</v>
      </c>
      <c r="P3296">
        <v>0</v>
      </c>
      <c r="Q3296">
        <v>0</v>
      </c>
      <c r="R3296">
        <v>0</v>
      </c>
      <c r="S3296">
        <v>0</v>
      </c>
      <c r="T3296">
        <v>0</v>
      </c>
      <c r="V3296">
        <v>0</v>
      </c>
      <c r="W3296">
        <v>1097</v>
      </c>
    </row>
    <row r="3297" spans="1:23" x14ac:dyDescent="0.25">
      <c r="H3297">
        <v>703</v>
      </c>
    </row>
    <row r="3298" spans="1:23" x14ac:dyDescent="0.25">
      <c r="A3298">
        <v>1646</v>
      </c>
      <c r="B3298">
        <v>1038</v>
      </c>
      <c r="C3298" t="s">
        <v>4675</v>
      </c>
      <c r="D3298" t="s">
        <v>1760</v>
      </c>
      <c r="E3298" t="s">
        <v>53</v>
      </c>
      <c r="F3298" t="s">
        <v>4676</v>
      </c>
      <c r="G3298" t="str">
        <f>"00149669"</f>
        <v>00149669</v>
      </c>
      <c r="H3298">
        <v>1067</v>
      </c>
      <c r="I3298">
        <v>0</v>
      </c>
      <c r="J3298">
        <v>30</v>
      </c>
      <c r="K3298">
        <v>0</v>
      </c>
      <c r="L3298">
        <v>0</v>
      </c>
      <c r="M3298">
        <v>0</v>
      </c>
      <c r="N3298">
        <v>0</v>
      </c>
      <c r="O3298">
        <v>0</v>
      </c>
      <c r="P3298">
        <v>0</v>
      </c>
      <c r="Q3298">
        <v>0</v>
      </c>
      <c r="R3298">
        <v>0</v>
      </c>
      <c r="S3298">
        <v>0</v>
      </c>
      <c r="T3298">
        <v>0</v>
      </c>
      <c r="V3298">
        <v>0</v>
      </c>
      <c r="W3298">
        <v>1097</v>
      </c>
    </row>
    <row r="3299" spans="1:23" x14ac:dyDescent="0.25">
      <c r="H3299">
        <v>703</v>
      </c>
    </row>
    <row r="3300" spans="1:23" x14ac:dyDescent="0.25">
      <c r="A3300">
        <v>1647</v>
      </c>
      <c r="B3300">
        <v>3012</v>
      </c>
      <c r="C3300" t="s">
        <v>4677</v>
      </c>
      <c r="D3300" t="s">
        <v>4678</v>
      </c>
      <c r="E3300" t="s">
        <v>41</v>
      </c>
      <c r="F3300" t="s">
        <v>4679</v>
      </c>
      <c r="G3300" t="str">
        <f>"201002000394"</f>
        <v>201002000394</v>
      </c>
      <c r="H3300">
        <v>1067</v>
      </c>
      <c r="I3300">
        <v>0</v>
      </c>
      <c r="J3300">
        <v>30</v>
      </c>
      <c r="K3300">
        <v>0</v>
      </c>
      <c r="L3300">
        <v>0</v>
      </c>
      <c r="M3300">
        <v>0</v>
      </c>
      <c r="N3300">
        <v>0</v>
      </c>
      <c r="O3300">
        <v>0</v>
      </c>
      <c r="P3300">
        <v>0</v>
      </c>
      <c r="Q3300">
        <v>0</v>
      </c>
      <c r="R3300">
        <v>0</v>
      </c>
      <c r="S3300">
        <v>0</v>
      </c>
      <c r="T3300">
        <v>0</v>
      </c>
      <c r="V3300">
        <v>0</v>
      </c>
      <c r="W3300">
        <v>1097</v>
      </c>
    </row>
    <row r="3301" spans="1:23" x14ac:dyDescent="0.25">
      <c r="H3301">
        <v>703</v>
      </c>
    </row>
    <row r="3302" spans="1:23" x14ac:dyDescent="0.25">
      <c r="A3302">
        <v>1648</v>
      </c>
      <c r="B3302">
        <v>180</v>
      </c>
      <c r="C3302" t="s">
        <v>4680</v>
      </c>
      <c r="D3302" t="s">
        <v>40</v>
      </c>
      <c r="E3302" t="s">
        <v>53</v>
      </c>
      <c r="F3302" t="s">
        <v>4681</v>
      </c>
      <c r="G3302" t="str">
        <f>"00003408"</f>
        <v>00003408</v>
      </c>
      <c r="H3302">
        <v>1067</v>
      </c>
      <c r="I3302">
        <v>0</v>
      </c>
      <c r="J3302">
        <v>30</v>
      </c>
      <c r="K3302">
        <v>0</v>
      </c>
      <c r="L3302">
        <v>0</v>
      </c>
      <c r="M3302">
        <v>0</v>
      </c>
      <c r="N3302">
        <v>0</v>
      </c>
      <c r="O3302">
        <v>0</v>
      </c>
      <c r="P3302">
        <v>0</v>
      </c>
      <c r="Q3302">
        <v>0</v>
      </c>
      <c r="R3302">
        <v>0</v>
      </c>
      <c r="S3302">
        <v>0</v>
      </c>
      <c r="T3302">
        <v>0</v>
      </c>
      <c r="V3302">
        <v>0</v>
      </c>
      <c r="W3302">
        <v>1097</v>
      </c>
    </row>
    <row r="3303" spans="1:23" x14ac:dyDescent="0.25">
      <c r="H3303">
        <v>703</v>
      </c>
    </row>
    <row r="3304" spans="1:23" x14ac:dyDescent="0.25">
      <c r="A3304">
        <v>1649</v>
      </c>
      <c r="B3304">
        <v>2075</v>
      </c>
      <c r="C3304" t="s">
        <v>4682</v>
      </c>
      <c r="D3304" t="s">
        <v>185</v>
      </c>
      <c r="E3304" t="s">
        <v>303</v>
      </c>
      <c r="F3304" t="s">
        <v>4683</v>
      </c>
      <c r="G3304" t="str">
        <f>"00230548"</f>
        <v>00230548</v>
      </c>
      <c r="H3304">
        <v>1067</v>
      </c>
      <c r="I3304">
        <v>0</v>
      </c>
      <c r="J3304">
        <v>30</v>
      </c>
      <c r="K3304">
        <v>0</v>
      </c>
      <c r="L3304">
        <v>0</v>
      </c>
      <c r="M3304">
        <v>0</v>
      </c>
      <c r="N3304">
        <v>0</v>
      </c>
      <c r="O3304">
        <v>0</v>
      </c>
      <c r="P3304">
        <v>0</v>
      </c>
      <c r="Q3304">
        <v>0</v>
      </c>
      <c r="R3304">
        <v>0</v>
      </c>
      <c r="S3304">
        <v>0</v>
      </c>
      <c r="T3304">
        <v>0</v>
      </c>
      <c r="V3304">
        <v>0</v>
      </c>
      <c r="W3304">
        <v>1097</v>
      </c>
    </row>
    <row r="3305" spans="1:23" x14ac:dyDescent="0.25">
      <c r="H3305">
        <v>703</v>
      </c>
    </row>
    <row r="3306" spans="1:23" x14ac:dyDescent="0.25">
      <c r="A3306">
        <v>1650</v>
      </c>
      <c r="B3306">
        <v>1838</v>
      </c>
      <c r="C3306" t="s">
        <v>4684</v>
      </c>
      <c r="D3306" t="s">
        <v>67</v>
      </c>
      <c r="E3306" t="s">
        <v>91</v>
      </c>
      <c r="F3306" t="s">
        <v>4685</v>
      </c>
      <c r="G3306" t="str">
        <f>"201503000077"</f>
        <v>201503000077</v>
      </c>
      <c r="H3306">
        <v>957</v>
      </c>
      <c r="I3306">
        <v>0</v>
      </c>
      <c r="J3306">
        <v>70</v>
      </c>
      <c r="K3306">
        <v>0</v>
      </c>
      <c r="L3306">
        <v>70</v>
      </c>
      <c r="M3306">
        <v>0</v>
      </c>
      <c r="N3306">
        <v>0</v>
      </c>
      <c r="O3306">
        <v>0</v>
      </c>
      <c r="P3306">
        <v>0</v>
      </c>
      <c r="Q3306">
        <v>0</v>
      </c>
      <c r="R3306">
        <v>0</v>
      </c>
      <c r="S3306">
        <v>0</v>
      </c>
      <c r="T3306">
        <v>0</v>
      </c>
      <c r="V3306">
        <v>0</v>
      </c>
      <c r="W3306">
        <v>1097</v>
      </c>
    </row>
    <row r="3307" spans="1:23" x14ac:dyDescent="0.25">
      <c r="H3307" t="s">
        <v>70</v>
      </c>
    </row>
    <row r="3308" spans="1:23" x14ac:dyDescent="0.25">
      <c r="A3308">
        <v>1651</v>
      </c>
      <c r="B3308">
        <v>253</v>
      </c>
      <c r="C3308" t="s">
        <v>2751</v>
      </c>
      <c r="D3308" t="s">
        <v>273</v>
      </c>
      <c r="E3308" t="s">
        <v>424</v>
      </c>
      <c r="F3308">
        <v>409114</v>
      </c>
      <c r="G3308" t="str">
        <f>"00115871"</f>
        <v>00115871</v>
      </c>
      <c r="H3308" t="s">
        <v>237</v>
      </c>
      <c r="I3308">
        <v>0</v>
      </c>
      <c r="J3308">
        <v>30</v>
      </c>
      <c r="K3308">
        <v>30</v>
      </c>
      <c r="L3308">
        <v>0</v>
      </c>
      <c r="M3308">
        <v>30</v>
      </c>
      <c r="N3308">
        <v>0</v>
      </c>
      <c r="O3308">
        <v>0</v>
      </c>
      <c r="P3308">
        <v>0</v>
      </c>
      <c r="Q3308">
        <v>0</v>
      </c>
      <c r="R3308">
        <v>0</v>
      </c>
      <c r="S3308">
        <v>0</v>
      </c>
      <c r="T3308">
        <v>0</v>
      </c>
      <c r="V3308">
        <v>0</v>
      </c>
      <c r="W3308" t="s">
        <v>4686</v>
      </c>
    </row>
    <row r="3309" spans="1:23" x14ac:dyDescent="0.25">
      <c r="H3309" t="s">
        <v>70</v>
      </c>
    </row>
    <row r="3310" spans="1:23" x14ac:dyDescent="0.25">
      <c r="A3310">
        <v>1652</v>
      </c>
      <c r="B3310">
        <v>332</v>
      </c>
      <c r="C3310" t="s">
        <v>4687</v>
      </c>
      <c r="D3310" t="s">
        <v>273</v>
      </c>
      <c r="E3310" t="s">
        <v>303</v>
      </c>
      <c r="F3310" t="s">
        <v>4688</v>
      </c>
      <c r="G3310" t="str">
        <f>"00031278"</f>
        <v>00031278</v>
      </c>
      <c r="H3310" t="s">
        <v>4689</v>
      </c>
      <c r="I3310">
        <v>0</v>
      </c>
      <c r="J3310">
        <v>30</v>
      </c>
      <c r="K3310">
        <v>0</v>
      </c>
      <c r="L3310">
        <v>0</v>
      </c>
      <c r="M3310">
        <v>0</v>
      </c>
      <c r="N3310">
        <v>0</v>
      </c>
      <c r="O3310">
        <v>0</v>
      </c>
      <c r="P3310">
        <v>0</v>
      </c>
      <c r="Q3310">
        <v>0</v>
      </c>
      <c r="R3310">
        <v>0</v>
      </c>
      <c r="S3310">
        <v>0</v>
      </c>
      <c r="T3310">
        <v>0</v>
      </c>
      <c r="V3310">
        <v>0</v>
      </c>
      <c r="W3310" t="s">
        <v>4690</v>
      </c>
    </row>
    <row r="3311" spans="1:23" x14ac:dyDescent="0.25">
      <c r="H3311">
        <v>703</v>
      </c>
    </row>
    <row r="3312" spans="1:23" x14ac:dyDescent="0.25">
      <c r="A3312">
        <v>1653</v>
      </c>
      <c r="B3312">
        <v>2883</v>
      </c>
      <c r="C3312" t="s">
        <v>4691</v>
      </c>
      <c r="D3312" t="s">
        <v>273</v>
      </c>
      <c r="E3312" t="s">
        <v>109</v>
      </c>
      <c r="F3312" t="s">
        <v>4692</v>
      </c>
      <c r="G3312" t="str">
        <f>"00230629"</f>
        <v>00230629</v>
      </c>
      <c r="H3312" t="s">
        <v>358</v>
      </c>
      <c r="I3312">
        <v>0</v>
      </c>
      <c r="J3312">
        <v>70</v>
      </c>
      <c r="K3312">
        <v>0</v>
      </c>
      <c r="L3312">
        <v>0</v>
      </c>
      <c r="M3312">
        <v>30</v>
      </c>
      <c r="N3312">
        <v>0</v>
      </c>
      <c r="O3312">
        <v>0</v>
      </c>
      <c r="P3312">
        <v>0</v>
      </c>
      <c r="Q3312">
        <v>0</v>
      </c>
      <c r="R3312">
        <v>0</v>
      </c>
      <c r="S3312">
        <v>0</v>
      </c>
      <c r="T3312">
        <v>0</v>
      </c>
      <c r="V3312">
        <v>2</v>
      </c>
      <c r="W3312" t="s">
        <v>4693</v>
      </c>
    </row>
    <row r="3313" spans="1:23" x14ac:dyDescent="0.25">
      <c r="H3313" t="s">
        <v>70</v>
      </c>
    </row>
    <row r="3314" spans="1:23" x14ac:dyDescent="0.25">
      <c r="A3314">
        <v>1654</v>
      </c>
      <c r="B3314">
        <v>2253</v>
      </c>
      <c r="C3314" t="s">
        <v>4694</v>
      </c>
      <c r="D3314" t="s">
        <v>3061</v>
      </c>
      <c r="E3314" t="s">
        <v>41</v>
      </c>
      <c r="F3314" t="s">
        <v>4695</v>
      </c>
      <c r="G3314" t="str">
        <f>"00110705"</f>
        <v>00110705</v>
      </c>
      <c r="H3314">
        <v>1045</v>
      </c>
      <c r="I3314">
        <v>0</v>
      </c>
      <c r="J3314">
        <v>50</v>
      </c>
      <c r="K3314">
        <v>0</v>
      </c>
      <c r="L3314">
        <v>0</v>
      </c>
      <c r="M3314">
        <v>0</v>
      </c>
      <c r="N3314">
        <v>0</v>
      </c>
      <c r="O3314">
        <v>0</v>
      </c>
      <c r="P3314">
        <v>0</v>
      </c>
      <c r="Q3314">
        <v>0</v>
      </c>
      <c r="R3314">
        <v>0</v>
      </c>
      <c r="S3314">
        <v>0</v>
      </c>
      <c r="T3314">
        <v>0</v>
      </c>
      <c r="V3314">
        <v>0</v>
      </c>
      <c r="W3314">
        <v>1095</v>
      </c>
    </row>
    <row r="3315" spans="1:23" x14ac:dyDescent="0.25">
      <c r="H3315" t="s">
        <v>26</v>
      </c>
    </row>
    <row r="3316" spans="1:23" x14ac:dyDescent="0.25">
      <c r="A3316">
        <v>1655</v>
      </c>
      <c r="B3316">
        <v>956</v>
      </c>
      <c r="C3316" t="s">
        <v>4696</v>
      </c>
      <c r="D3316" t="s">
        <v>40</v>
      </c>
      <c r="E3316" t="s">
        <v>91</v>
      </c>
      <c r="F3316" t="s">
        <v>4697</v>
      </c>
      <c r="G3316" t="str">
        <f>"00131040"</f>
        <v>00131040</v>
      </c>
      <c r="H3316">
        <v>990</v>
      </c>
      <c r="I3316">
        <v>0</v>
      </c>
      <c r="J3316">
        <v>70</v>
      </c>
      <c r="K3316">
        <v>0</v>
      </c>
      <c r="L3316">
        <v>0</v>
      </c>
      <c r="M3316">
        <v>0</v>
      </c>
      <c r="N3316">
        <v>0</v>
      </c>
      <c r="O3316">
        <v>0</v>
      </c>
      <c r="P3316">
        <v>0</v>
      </c>
      <c r="Q3316">
        <v>0</v>
      </c>
      <c r="R3316">
        <v>5</v>
      </c>
      <c r="S3316">
        <v>35</v>
      </c>
      <c r="T3316">
        <v>0</v>
      </c>
      <c r="V3316">
        <v>0</v>
      </c>
      <c r="W3316">
        <v>1095</v>
      </c>
    </row>
    <row r="3317" spans="1:23" x14ac:dyDescent="0.25">
      <c r="H3317" t="s">
        <v>26</v>
      </c>
    </row>
    <row r="3318" spans="1:23" x14ac:dyDescent="0.25">
      <c r="A3318">
        <v>1656</v>
      </c>
      <c r="B3318">
        <v>1281</v>
      </c>
      <c r="C3318" t="s">
        <v>2278</v>
      </c>
      <c r="D3318" t="s">
        <v>40</v>
      </c>
      <c r="E3318" t="s">
        <v>62</v>
      </c>
      <c r="F3318" t="s">
        <v>4698</v>
      </c>
      <c r="G3318" t="str">
        <f>"201510000364"</f>
        <v>201510000364</v>
      </c>
      <c r="H3318" t="s">
        <v>17</v>
      </c>
      <c r="I3318">
        <v>0</v>
      </c>
      <c r="J3318">
        <v>0</v>
      </c>
      <c r="K3318">
        <v>0</v>
      </c>
      <c r="L3318">
        <v>0</v>
      </c>
      <c r="M3318">
        <v>0</v>
      </c>
      <c r="N3318">
        <v>0</v>
      </c>
      <c r="O3318">
        <v>0</v>
      </c>
      <c r="P3318">
        <v>0</v>
      </c>
      <c r="Q3318">
        <v>0</v>
      </c>
      <c r="R3318">
        <v>0</v>
      </c>
      <c r="S3318">
        <v>0</v>
      </c>
      <c r="T3318">
        <v>0</v>
      </c>
      <c r="V3318">
        <v>0</v>
      </c>
      <c r="W3318" t="s">
        <v>17</v>
      </c>
    </row>
    <row r="3319" spans="1:23" x14ac:dyDescent="0.25">
      <c r="H3319">
        <v>703</v>
      </c>
    </row>
    <row r="3320" spans="1:23" x14ac:dyDescent="0.25">
      <c r="A3320">
        <v>1657</v>
      </c>
      <c r="B3320">
        <v>1428</v>
      </c>
      <c r="C3320" t="s">
        <v>4699</v>
      </c>
      <c r="D3320" t="s">
        <v>254</v>
      </c>
      <c r="E3320" t="s">
        <v>53</v>
      </c>
      <c r="F3320" t="s">
        <v>4700</v>
      </c>
      <c r="G3320" t="str">
        <f>"201511026950"</f>
        <v>201511026950</v>
      </c>
      <c r="H3320" t="s">
        <v>385</v>
      </c>
      <c r="I3320">
        <v>0</v>
      </c>
      <c r="J3320">
        <v>0</v>
      </c>
      <c r="K3320">
        <v>0</v>
      </c>
      <c r="L3320">
        <v>0</v>
      </c>
      <c r="M3320">
        <v>0</v>
      </c>
      <c r="N3320">
        <v>0</v>
      </c>
      <c r="O3320">
        <v>0</v>
      </c>
      <c r="P3320">
        <v>0</v>
      </c>
      <c r="Q3320">
        <v>0</v>
      </c>
      <c r="R3320">
        <v>11</v>
      </c>
      <c r="S3320">
        <v>77</v>
      </c>
      <c r="T3320">
        <v>0</v>
      </c>
      <c r="V3320">
        <v>0</v>
      </c>
      <c r="W3320" t="s">
        <v>17</v>
      </c>
    </row>
    <row r="3321" spans="1:23" x14ac:dyDescent="0.25">
      <c r="H3321">
        <v>703</v>
      </c>
    </row>
    <row r="3322" spans="1:23" x14ac:dyDescent="0.25">
      <c r="A3322">
        <v>1658</v>
      </c>
      <c r="B3322">
        <v>1944</v>
      </c>
      <c r="C3322" t="s">
        <v>4701</v>
      </c>
      <c r="D3322" t="s">
        <v>1255</v>
      </c>
      <c r="E3322" t="s">
        <v>1081</v>
      </c>
      <c r="F3322" t="s">
        <v>4702</v>
      </c>
      <c r="G3322" t="str">
        <f>"00090937"</f>
        <v>00090937</v>
      </c>
      <c r="H3322" t="s">
        <v>1001</v>
      </c>
      <c r="I3322">
        <v>0</v>
      </c>
      <c r="J3322">
        <v>30</v>
      </c>
      <c r="K3322">
        <v>0</v>
      </c>
      <c r="L3322">
        <v>0</v>
      </c>
      <c r="M3322">
        <v>0</v>
      </c>
      <c r="N3322">
        <v>0</v>
      </c>
      <c r="O3322">
        <v>0</v>
      </c>
      <c r="P3322">
        <v>0</v>
      </c>
      <c r="Q3322">
        <v>0</v>
      </c>
      <c r="R3322">
        <v>24</v>
      </c>
      <c r="S3322">
        <v>168</v>
      </c>
      <c r="T3322">
        <v>0</v>
      </c>
      <c r="V3322">
        <v>0</v>
      </c>
      <c r="W3322" t="s">
        <v>17</v>
      </c>
    </row>
    <row r="3323" spans="1:23" x14ac:dyDescent="0.25">
      <c r="H3323">
        <v>703</v>
      </c>
    </row>
    <row r="3324" spans="1:23" x14ac:dyDescent="0.25">
      <c r="A3324">
        <v>1659</v>
      </c>
      <c r="B3324">
        <v>1318</v>
      </c>
      <c r="C3324" t="s">
        <v>4703</v>
      </c>
      <c r="D3324" t="s">
        <v>109</v>
      </c>
      <c r="E3324" t="s">
        <v>4244</v>
      </c>
      <c r="F3324" t="s">
        <v>4704</v>
      </c>
      <c r="G3324" t="str">
        <f>"201412002067"</f>
        <v>201412002067</v>
      </c>
      <c r="H3324">
        <v>1034</v>
      </c>
      <c r="I3324">
        <v>0</v>
      </c>
      <c r="J3324">
        <v>30</v>
      </c>
      <c r="K3324">
        <v>0</v>
      </c>
      <c r="L3324">
        <v>30</v>
      </c>
      <c r="M3324">
        <v>0</v>
      </c>
      <c r="N3324">
        <v>0</v>
      </c>
      <c r="O3324">
        <v>0</v>
      </c>
      <c r="P3324">
        <v>0</v>
      </c>
      <c r="Q3324">
        <v>0</v>
      </c>
      <c r="R3324">
        <v>0</v>
      </c>
      <c r="S3324">
        <v>0</v>
      </c>
      <c r="T3324">
        <v>0</v>
      </c>
      <c r="V3324">
        <v>0</v>
      </c>
      <c r="W3324">
        <v>1094</v>
      </c>
    </row>
    <row r="3325" spans="1:23" x14ac:dyDescent="0.25">
      <c r="H3325" t="s">
        <v>70</v>
      </c>
    </row>
    <row r="3326" spans="1:23" x14ac:dyDescent="0.25">
      <c r="A3326">
        <v>1660</v>
      </c>
      <c r="B3326">
        <v>1359</v>
      </c>
      <c r="C3326" t="s">
        <v>1313</v>
      </c>
      <c r="D3326" t="s">
        <v>4705</v>
      </c>
      <c r="E3326" t="s">
        <v>1440</v>
      </c>
      <c r="F3326" t="s">
        <v>4706</v>
      </c>
      <c r="G3326" t="str">
        <f>"00005645"</f>
        <v>00005645</v>
      </c>
      <c r="H3326" t="s">
        <v>1931</v>
      </c>
      <c r="I3326">
        <v>150</v>
      </c>
      <c r="J3326">
        <v>0</v>
      </c>
      <c r="K3326">
        <v>0</v>
      </c>
      <c r="L3326">
        <v>0</v>
      </c>
      <c r="M3326">
        <v>0</v>
      </c>
      <c r="N3326">
        <v>0</v>
      </c>
      <c r="O3326">
        <v>0</v>
      </c>
      <c r="P3326">
        <v>0</v>
      </c>
      <c r="Q3326">
        <v>0</v>
      </c>
      <c r="R3326">
        <v>22</v>
      </c>
      <c r="S3326">
        <v>154</v>
      </c>
      <c r="T3326">
        <v>0</v>
      </c>
      <c r="V3326">
        <v>0</v>
      </c>
      <c r="W3326" t="s">
        <v>4707</v>
      </c>
    </row>
    <row r="3327" spans="1:23" x14ac:dyDescent="0.25">
      <c r="H3327" t="s">
        <v>587</v>
      </c>
    </row>
    <row r="3328" spans="1:23" x14ac:dyDescent="0.25">
      <c r="A3328">
        <v>1661</v>
      </c>
      <c r="B3328">
        <v>1963</v>
      </c>
      <c r="C3328" t="s">
        <v>4708</v>
      </c>
      <c r="D3328" t="s">
        <v>597</v>
      </c>
      <c r="E3328" t="s">
        <v>207</v>
      </c>
      <c r="F3328" t="s">
        <v>4709</v>
      </c>
      <c r="G3328" t="str">
        <f>"00224423"</f>
        <v>00224423</v>
      </c>
      <c r="H3328">
        <v>1023</v>
      </c>
      <c r="I3328">
        <v>0</v>
      </c>
      <c r="J3328">
        <v>70</v>
      </c>
      <c r="K3328">
        <v>0</v>
      </c>
      <c r="L3328">
        <v>0</v>
      </c>
      <c r="M3328">
        <v>0</v>
      </c>
      <c r="N3328">
        <v>0</v>
      </c>
      <c r="O3328">
        <v>0</v>
      </c>
      <c r="P3328">
        <v>0</v>
      </c>
      <c r="Q3328">
        <v>0</v>
      </c>
      <c r="R3328">
        <v>0</v>
      </c>
      <c r="S3328">
        <v>0</v>
      </c>
      <c r="T3328">
        <v>0</v>
      </c>
      <c r="V3328">
        <v>0</v>
      </c>
      <c r="W3328">
        <v>1093</v>
      </c>
    </row>
    <row r="3329" spans="1:23" x14ac:dyDescent="0.25">
      <c r="H3329" t="s">
        <v>26</v>
      </c>
    </row>
    <row r="3330" spans="1:23" x14ac:dyDescent="0.25">
      <c r="A3330">
        <v>1662</v>
      </c>
      <c r="B3330">
        <v>392</v>
      </c>
      <c r="C3330" t="s">
        <v>4710</v>
      </c>
      <c r="D3330" t="s">
        <v>32</v>
      </c>
      <c r="E3330" t="s">
        <v>62</v>
      </c>
      <c r="F3330" t="s">
        <v>4711</v>
      </c>
      <c r="G3330" t="str">
        <f>"201604000524"</f>
        <v>201604000524</v>
      </c>
      <c r="H3330">
        <v>913</v>
      </c>
      <c r="I3330">
        <v>150</v>
      </c>
      <c r="J3330">
        <v>30</v>
      </c>
      <c r="K3330">
        <v>0</v>
      </c>
      <c r="L3330">
        <v>0</v>
      </c>
      <c r="M3330">
        <v>0</v>
      </c>
      <c r="N3330">
        <v>0</v>
      </c>
      <c r="O3330">
        <v>0</v>
      </c>
      <c r="P3330">
        <v>0</v>
      </c>
      <c r="Q3330">
        <v>0</v>
      </c>
      <c r="R3330">
        <v>0</v>
      </c>
      <c r="S3330">
        <v>0</v>
      </c>
      <c r="T3330">
        <v>0</v>
      </c>
      <c r="V3330">
        <v>0</v>
      </c>
      <c r="W3330">
        <v>1093</v>
      </c>
    </row>
    <row r="3331" spans="1:23" x14ac:dyDescent="0.25">
      <c r="H3331" t="s">
        <v>26</v>
      </c>
    </row>
    <row r="3332" spans="1:23" x14ac:dyDescent="0.25">
      <c r="A3332">
        <v>1663</v>
      </c>
      <c r="B3332">
        <v>258</v>
      </c>
      <c r="C3332" t="s">
        <v>3936</v>
      </c>
      <c r="D3332" t="s">
        <v>91</v>
      </c>
      <c r="E3332" t="s">
        <v>865</v>
      </c>
      <c r="F3332" t="s">
        <v>4712</v>
      </c>
      <c r="G3332" t="str">
        <f>"201511039421"</f>
        <v>201511039421</v>
      </c>
      <c r="H3332" t="s">
        <v>1532</v>
      </c>
      <c r="I3332">
        <v>0</v>
      </c>
      <c r="J3332">
        <v>30</v>
      </c>
      <c r="K3332">
        <v>0</v>
      </c>
      <c r="L3332">
        <v>0</v>
      </c>
      <c r="M3332">
        <v>0</v>
      </c>
      <c r="N3332">
        <v>0</v>
      </c>
      <c r="O3332">
        <v>0</v>
      </c>
      <c r="P3332">
        <v>0</v>
      </c>
      <c r="Q3332">
        <v>0</v>
      </c>
      <c r="R3332">
        <v>19</v>
      </c>
      <c r="S3332">
        <v>133</v>
      </c>
      <c r="T3332">
        <v>0</v>
      </c>
      <c r="V3332">
        <v>0</v>
      </c>
      <c r="W3332" t="s">
        <v>4713</v>
      </c>
    </row>
    <row r="3333" spans="1:23" x14ac:dyDescent="0.25">
      <c r="H3333" t="s">
        <v>26</v>
      </c>
    </row>
    <row r="3334" spans="1:23" x14ac:dyDescent="0.25">
      <c r="A3334">
        <v>1664</v>
      </c>
      <c r="B3334">
        <v>1316</v>
      </c>
      <c r="C3334" t="s">
        <v>4714</v>
      </c>
      <c r="D3334" t="s">
        <v>40</v>
      </c>
      <c r="E3334" t="s">
        <v>99</v>
      </c>
      <c r="F3334" t="s">
        <v>4715</v>
      </c>
      <c r="G3334" t="str">
        <f>"00120409"</f>
        <v>00120409</v>
      </c>
      <c r="H3334" t="s">
        <v>1001</v>
      </c>
      <c r="I3334">
        <v>0</v>
      </c>
      <c r="J3334">
        <v>70</v>
      </c>
      <c r="K3334">
        <v>0</v>
      </c>
      <c r="L3334">
        <v>0</v>
      </c>
      <c r="M3334">
        <v>0</v>
      </c>
      <c r="N3334">
        <v>0</v>
      </c>
      <c r="O3334">
        <v>0</v>
      </c>
      <c r="P3334">
        <v>0</v>
      </c>
      <c r="Q3334">
        <v>0</v>
      </c>
      <c r="R3334">
        <v>18</v>
      </c>
      <c r="S3334">
        <v>126</v>
      </c>
      <c r="T3334">
        <v>0</v>
      </c>
      <c r="V3334">
        <v>0</v>
      </c>
      <c r="W3334" t="s">
        <v>4713</v>
      </c>
    </row>
    <row r="3335" spans="1:23" x14ac:dyDescent="0.25">
      <c r="H3335">
        <v>703</v>
      </c>
    </row>
    <row r="3336" spans="1:23" x14ac:dyDescent="0.25">
      <c r="A3336">
        <v>1665</v>
      </c>
      <c r="B3336">
        <v>2702</v>
      </c>
      <c r="C3336" t="s">
        <v>4716</v>
      </c>
      <c r="D3336" t="s">
        <v>2114</v>
      </c>
      <c r="E3336" t="s">
        <v>15</v>
      </c>
      <c r="F3336" t="s">
        <v>4717</v>
      </c>
      <c r="G3336" t="str">
        <f>"00045740"</f>
        <v>00045740</v>
      </c>
      <c r="H3336">
        <v>880</v>
      </c>
      <c r="I3336">
        <v>0</v>
      </c>
      <c r="J3336">
        <v>30</v>
      </c>
      <c r="K3336">
        <v>70</v>
      </c>
      <c r="L3336">
        <v>0</v>
      </c>
      <c r="M3336">
        <v>0</v>
      </c>
      <c r="N3336">
        <v>0</v>
      </c>
      <c r="O3336">
        <v>0</v>
      </c>
      <c r="P3336">
        <v>0</v>
      </c>
      <c r="Q3336">
        <v>0</v>
      </c>
      <c r="R3336">
        <v>16</v>
      </c>
      <c r="S3336">
        <v>112</v>
      </c>
      <c r="T3336">
        <v>0</v>
      </c>
      <c r="V3336">
        <v>1</v>
      </c>
      <c r="W3336">
        <v>1092</v>
      </c>
    </row>
    <row r="3337" spans="1:23" x14ac:dyDescent="0.25">
      <c r="H3337">
        <v>703</v>
      </c>
    </row>
    <row r="3338" spans="1:23" x14ac:dyDescent="0.25">
      <c r="A3338">
        <v>1666</v>
      </c>
      <c r="B3338">
        <v>553</v>
      </c>
      <c r="C3338" t="s">
        <v>1313</v>
      </c>
      <c r="D3338" t="s">
        <v>20</v>
      </c>
      <c r="E3338" t="s">
        <v>1633</v>
      </c>
      <c r="F3338" t="s">
        <v>4718</v>
      </c>
      <c r="G3338" t="str">
        <f>"201412001648"</f>
        <v>201412001648</v>
      </c>
      <c r="H3338">
        <v>847</v>
      </c>
      <c r="I3338">
        <v>0</v>
      </c>
      <c r="J3338">
        <v>0</v>
      </c>
      <c r="K3338">
        <v>0</v>
      </c>
      <c r="L3338">
        <v>0</v>
      </c>
      <c r="M3338">
        <v>0</v>
      </c>
      <c r="N3338">
        <v>0</v>
      </c>
      <c r="O3338">
        <v>0</v>
      </c>
      <c r="P3338">
        <v>0</v>
      </c>
      <c r="Q3338">
        <v>0</v>
      </c>
      <c r="R3338">
        <v>35</v>
      </c>
      <c r="S3338">
        <v>245</v>
      </c>
      <c r="T3338">
        <v>0</v>
      </c>
      <c r="V3338">
        <v>0</v>
      </c>
      <c r="W3338">
        <v>1092</v>
      </c>
    </row>
    <row r="3339" spans="1:23" x14ac:dyDescent="0.25">
      <c r="H3339">
        <v>703</v>
      </c>
    </row>
    <row r="3340" spans="1:23" x14ac:dyDescent="0.25">
      <c r="A3340">
        <v>1667</v>
      </c>
      <c r="B3340">
        <v>1534</v>
      </c>
      <c r="C3340" t="s">
        <v>35</v>
      </c>
      <c r="D3340" t="s">
        <v>67</v>
      </c>
      <c r="E3340" t="s">
        <v>207</v>
      </c>
      <c r="F3340" t="s">
        <v>4719</v>
      </c>
      <c r="G3340" t="str">
        <f>"00146942"</f>
        <v>00146942</v>
      </c>
      <c r="H3340">
        <v>781</v>
      </c>
      <c r="I3340">
        <v>150</v>
      </c>
      <c r="J3340">
        <v>0</v>
      </c>
      <c r="K3340">
        <v>0</v>
      </c>
      <c r="L3340">
        <v>0</v>
      </c>
      <c r="M3340">
        <v>0</v>
      </c>
      <c r="N3340">
        <v>0</v>
      </c>
      <c r="O3340">
        <v>0</v>
      </c>
      <c r="P3340">
        <v>0</v>
      </c>
      <c r="Q3340">
        <v>0</v>
      </c>
      <c r="R3340">
        <v>23</v>
      </c>
      <c r="S3340">
        <v>161</v>
      </c>
      <c r="T3340">
        <v>0</v>
      </c>
      <c r="V3340">
        <v>2</v>
      </c>
      <c r="W3340">
        <v>1092</v>
      </c>
    </row>
    <row r="3341" spans="1:23" x14ac:dyDescent="0.25">
      <c r="H3341">
        <v>703</v>
      </c>
    </row>
    <row r="3342" spans="1:23" x14ac:dyDescent="0.25">
      <c r="A3342">
        <v>1668</v>
      </c>
      <c r="B3342">
        <v>1658</v>
      </c>
      <c r="C3342" t="s">
        <v>4720</v>
      </c>
      <c r="D3342" t="s">
        <v>15</v>
      </c>
      <c r="E3342" t="s">
        <v>37</v>
      </c>
      <c r="F3342" t="s">
        <v>4721</v>
      </c>
      <c r="G3342" t="str">
        <f>"00153951"</f>
        <v>00153951</v>
      </c>
      <c r="H3342" t="s">
        <v>142</v>
      </c>
      <c r="I3342">
        <v>0</v>
      </c>
      <c r="J3342">
        <v>30</v>
      </c>
      <c r="K3342">
        <v>0</v>
      </c>
      <c r="L3342">
        <v>0</v>
      </c>
      <c r="M3342">
        <v>0</v>
      </c>
      <c r="N3342">
        <v>0</v>
      </c>
      <c r="O3342">
        <v>0</v>
      </c>
      <c r="P3342">
        <v>0</v>
      </c>
      <c r="Q3342">
        <v>0</v>
      </c>
      <c r="R3342">
        <v>0</v>
      </c>
      <c r="S3342">
        <v>0</v>
      </c>
      <c r="T3342">
        <v>0</v>
      </c>
      <c r="V3342">
        <v>0</v>
      </c>
      <c r="W3342" t="s">
        <v>4722</v>
      </c>
    </row>
    <row r="3343" spans="1:23" x14ac:dyDescent="0.25">
      <c r="H3343">
        <v>703</v>
      </c>
    </row>
    <row r="3344" spans="1:23" x14ac:dyDescent="0.25">
      <c r="A3344">
        <v>1669</v>
      </c>
      <c r="B3344">
        <v>1971</v>
      </c>
      <c r="C3344" t="s">
        <v>609</v>
      </c>
      <c r="D3344" t="s">
        <v>3111</v>
      </c>
      <c r="E3344" t="s">
        <v>322</v>
      </c>
      <c r="F3344" t="s">
        <v>4723</v>
      </c>
      <c r="G3344" t="str">
        <f>"00167422"</f>
        <v>00167422</v>
      </c>
      <c r="H3344" t="s">
        <v>64</v>
      </c>
      <c r="I3344">
        <v>0</v>
      </c>
      <c r="J3344">
        <v>0</v>
      </c>
      <c r="K3344">
        <v>0</v>
      </c>
      <c r="L3344">
        <v>0</v>
      </c>
      <c r="M3344">
        <v>0</v>
      </c>
      <c r="N3344">
        <v>0</v>
      </c>
      <c r="O3344">
        <v>0</v>
      </c>
      <c r="P3344">
        <v>0</v>
      </c>
      <c r="Q3344">
        <v>0</v>
      </c>
      <c r="R3344">
        <v>0</v>
      </c>
      <c r="S3344">
        <v>0</v>
      </c>
      <c r="T3344">
        <v>0</v>
      </c>
      <c r="V3344">
        <v>0</v>
      </c>
      <c r="W3344" t="s">
        <v>64</v>
      </c>
    </row>
    <row r="3345" spans="1:23" x14ac:dyDescent="0.25">
      <c r="H3345">
        <v>703</v>
      </c>
    </row>
    <row r="3346" spans="1:23" x14ac:dyDescent="0.25">
      <c r="A3346">
        <v>1670</v>
      </c>
      <c r="B3346">
        <v>2184</v>
      </c>
      <c r="C3346" t="s">
        <v>4724</v>
      </c>
      <c r="D3346" t="s">
        <v>76</v>
      </c>
      <c r="E3346" t="s">
        <v>2469</v>
      </c>
      <c r="F3346" t="s">
        <v>4725</v>
      </c>
      <c r="G3346" t="str">
        <f>"201604004729"</f>
        <v>201604004729</v>
      </c>
      <c r="H3346">
        <v>935</v>
      </c>
      <c r="I3346">
        <v>0</v>
      </c>
      <c r="J3346">
        <v>30</v>
      </c>
      <c r="K3346">
        <v>0</v>
      </c>
      <c r="L3346">
        <v>0</v>
      </c>
      <c r="M3346">
        <v>0</v>
      </c>
      <c r="N3346">
        <v>0</v>
      </c>
      <c r="O3346">
        <v>0</v>
      </c>
      <c r="P3346">
        <v>0</v>
      </c>
      <c r="Q3346">
        <v>0</v>
      </c>
      <c r="R3346">
        <v>18</v>
      </c>
      <c r="S3346">
        <v>126</v>
      </c>
      <c r="T3346">
        <v>0</v>
      </c>
      <c r="V3346">
        <v>2</v>
      </c>
      <c r="W3346">
        <v>1091</v>
      </c>
    </row>
    <row r="3347" spans="1:23" x14ac:dyDescent="0.25">
      <c r="H3347">
        <v>703</v>
      </c>
    </row>
    <row r="3348" spans="1:23" x14ac:dyDescent="0.25">
      <c r="A3348">
        <v>1671</v>
      </c>
      <c r="B3348">
        <v>2191</v>
      </c>
      <c r="C3348" t="s">
        <v>4726</v>
      </c>
      <c r="D3348" t="s">
        <v>293</v>
      </c>
      <c r="E3348" t="s">
        <v>15</v>
      </c>
      <c r="F3348" t="s">
        <v>4727</v>
      </c>
      <c r="G3348" t="str">
        <f>"00118013"</f>
        <v>00118013</v>
      </c>
      <c r="H3348">
        <v>935</v>
      </c>
      <c r="I3348">
        <v>0</v>
      </c>
      <c r="J3348">
        <v>30</v>
      </c>
      <c r="K3348">
        <v>0</v>
      </c>
      <c r="L3348">
        <v>0</v>
      </c>
      <c r="M3348">
        <v>0</v>
      </c>
      <c r="N3348">
        <v>0</v>
      </c>
      <c r="O3348">
        <v>0</v>
      </c>
      <c r="P3348">
        <v>0</v>
      </c>
      <c r="Q3348">
        <v>0</v>
      </c>
      <c r="R3348">
        <v>18</v>
      </c>
      <c r="S3348">
        <v>126</v>
      </c>
      <c r="T3348">
        <v>0</v>
      </c>
      <c r="V3348">
        <v>0</v>
      </c>
      <c r="W3348">
        <v>1091</v>
      </c>
    </row>
    <row r="3349" spans="1:23" x14ac:dyDescent="0.25">
      <c r="H3349">
        <v>703</v>
      </c>
    </row>
    <row r="3350" spans="1:23" x14ac:dyDescent="0.25">
      <c r="A3350">
        <v>1672</v>
      </c>
      <c r="B3350">
        <v>2662</v>
      </c>
      <c r="C3350" t="s">
        <v>4728</v>
      </c>
      <c r="D3350" t="s">
        <v>28</v>
      </c>
      <c r="E3350" t="s">
        <v>1075</v>
      </c>
      <c r="F3350" t="s">
        <v>4729</v>
      </c>
      <c r="G3350" t="str">
        <f>"201511015055"</f>
        <v>201511015055</v>
      </c>
      <c r="H3350">
        <v>825</v>
      </c>
      <c r="I3350">
        <v>0</v>
      </c>
      <c r="J3350">
        <v>0</v>
      </c>
      <c r="K3350">
        <v>0</v>
      </c>
      <c r="L3350">
        <v>0</v>
      </c>
      <c r="M3350">
        <v>0</v>
      </c>
      <c r="N3350">
        <v>0</v>
      </c>
      <c r="O3350">
        <v>0</v>
      </c>
      <c r="P3350">
        <v>0</v>
      </c>
      <c r="Q3350">
        <v>0</v>
      </c>
      <c r="R3350">
        <v>38</v>
      </c>
      <c r="S3350">
        <v>266</v>
      </c>
      <c r="T3350">
        <v>0</v>
      </c>
      <c r="V3350">
        <v>1</v>
      </c>
      <c r="W3350">
        <v>1091</v>
      </c>
    </row>
    <row r="3351" spans="1:23" x14ac:dyDescent="0.25">
      <c r="H3351">
        <v>703</v>
      </c>
    </row>
    <row r="3352" spans="1:23" x14ac:dyDescent="0.25">
      <c r="A3352">
        <v>1673</v>
      </c>
      <c r="B3352">
        <v>1436</v>
      </c>
      <c r="C3352" t="s">
        <v>4730</v>
      </c>
      <c r="D3352" t="s">
        <v>40</v>
      </c>
      <c r="E3352" t="s">
        <v>41</v>
      </c>
      <c r="F3352" t="s">
        <v>4731</v>
      </c>
      <c r="G3352" t="str">
        <f>"201502004065"</f>
        <v>201502004065</v>
      </c>
      <c r="H3352" t="s">
        <v>1536</v>
      </c>
      <c r="I3352">
        <v>0</v>
      </c>
      <c r="J3352">
        <v>30</v>
      </c>
      <c r="K3352">
        <v>0</v>
      </c>
      <c r="L3352">
        <v>0</v>
      </c>
      <c r="M3352">
        <v>0</v>
      </c>
      <c r="N3352">
        <v>0</v>
      </c>
      <c r="O3352">
        <v>0</v>
      </c>
      <c r="P3352">
        <v>0</v>
      </c>
      <c r="Q3352">
        <v>0</v>
      </c>
      <c r="R3352">
        <v>9</v>
      </c>
      <c r="S3352">
        <v>63</v>
      </c>
      <c r="T3352">
        <v>0</v>
      </c>
      <c r="V3352">
        <v>0</v>
      </c>
      <c r="W3352" t="s">
        <v>4732</v>
      </c>
    </row>
    <row r="3353" spans="1:23" x14ac:dyDescent="0.25">
      <c r="H3353" t="s">
        <v>587</v>
      </c>
    </row>
    <row r="3354" spans="1:23" x14ac:dyDescent="0.25">
      <c r="A3354">
        <v>1674</v>
      </c>
      <c r="B3354">
        <v>2286</v>
      </c>
      <c r="C3354" t="s">
        <v>4733</v>
      </c>
      <c r="D3354" t="s">
        <v>4734</v>
      </c>
      <c r="E3354" t="s">
        <v>369</v>
      </c>
      <c r="F3354" t="s">
        <v>4735</v>
      </c>
      <c r="G3354" t="str">
        <f>"00016593"</f>
        <v>00016593</v>
      </c>
      <c r="H3354" t="s">
        <v>4736</v>
      </c>
      <c r="I3354">
        <v>0</v>
      </c>
      <c r="J3354">
        <v>0</v>
      </c>
      <c r="K3354">
        <v>0</v>
      </c>
      <c r="L3354">
        <v>0</v>
      </c>
      <c r="M3354">
        <v>0</v>
      </c>
      <c r="N3354">
        <v>0</v>
      </c>
      <c r="O3354">
        <v>0</v>
      </c>
      <c r="P3354">
        <v>0</v>
      </c>
      <c r="Q3354">
        <v>0</v>
      </c>
      <c r="R3354">
        <v>0</v>
      </c>
      <c r="S3354">
        <v>0</v>
      </c>
      <c r="T3354">
        <v>0</v>
      </c>
      <c r="V3354">
        <v>0</v>
      </c>
      <c r="W3354" t="s">
        <v>4736</v>
      </c>
    </row>
    <row r="3355" spans="1:23" x14ac:dyDescent="0.25">
      <c r="H3355">
        <v>703</v>
      </c>
    </row>
    <row r="3356" spans="1:23" x14ac:dyDescent="0.25">
      <c r="A3356">
        <v>1675</v>
      </c>
      <c r="B3356">
        <v>1377</v>
      </c>
      <c r="C3356" t="s">
        <v>146</v>
      </c>
      <c r="D3356" t="s">
        <v>302</v>
      </c>
      <c r="E3356" t="s">
        <v>53</v>
      </c>
      <c r="F3356" t="s">
        <v>4737</v>
      </c>
      <c r="G3356" t="str">
        <f>"201406002648"</f>
        <v>201406002648</v>
      </c>
      <c r="H3356" t="s">
        <v>4736</v>
      </c>
      <c r="I3356">
        <v>0</v>
      </c>
      <c r="J3356">
        <v>0</v>
      </c>
      <c r="K3356">
        <v>0</v>
      </c>
      <c r="L3356">
        <v>0</v>
      </c>
      <c r="M3356">
        <v>0</v>
      </c>
      <c r="N3356">
        <v>0</v>
      </c>
      <c r="O3356">
        <v>0</v>
      </c>
      <c r="P3356">
        <v>0</v>
      </c>
      <c r="Q3356">
        <v>0</v>
      </c>
      <c r="R3356">
        <v>0</v>
      </c>
      <c r="S3356">
        <v>0</v>
      </c>
      <c r="T3356">
        <v>0</v>
      </c>
      <c r="V3356">
        <v>0</v>
      </c>
      <c r="W3356" t="s">
        <v>4736</v>
      </c>
    </row>
    <row r="3357" spans="1:23" x14ac:dyDescent="0.25">
      <c r="H3357">
        <v>703</v>
      </c>
    </row>
    <row r="3358" spans="1:23" x14ac:dyDescent="0.25">
      <c r="A3358">
        <v>1676</v>
      </c>
      <c r="B3358">
        <v>1809</v>
      </c>
      <c r="C3358" t="s">
        <v>4738</v>
      </c>
      <c r="D3358" t="s">
        <v>2952</v>
      </c>
      <c r="E3358" t="s">
        <v>167</v>
      </c>
      <c r="F3358" t="s">
        <v>4739</v>
      </c>
      <c r="G3358" t="str">
        <f>"00115176"</f>
        <v>00115176</v>
      </c>
      <c r="H3358">
        <v>880</v>
      </c>
      <c r="I3358">
        <v>150</v>
      </c>
      <c r="J3358">
        <v>30</v>
      </c>
      <c r="K3358">
        <v>0</v>
      </c>
      <c r="L3358">
        <v>0</v>
      </c>
      <c r="M3358">
        <v>30</v>
      </c>
      <c r="N3358">
        <v>0</v>
      </c>
      <c r="O3358">
        <v>0</v>
      </c>
      <c r="P3358">
        <v>0</v>
      </c>
      <c r="Q3358">
        <v>0</v>
      </c>
      <c r="R3358">
        <v>0</v>
      </c>
      <c r="S3358">
        <v>0</v>
      </c>
      <c r="T3358">
        <v>0</v>
      </c>
      <c r="V3358">
        <v>0</v>
      </c>
      <c r="W3358">
        <v>1090</v>
      </c>
    </row>
    <row r="3359" spans="1:23" x14ac:dyDescent="0.25">
      <c r="H3359" t="s">
        <v>70</v>
      </c>
    </row>
    <row r="3360" spans="1:23" x14ac:dyDescent="0.25">
      <c r="A3360">
        <v>1677</v>
      </c>
      <c r="B3360">
        <v>1073</v>
      </c>
      <c r="C3360" t="s">
        <v>1683</v>
      </c>
      <c r="D3360" t="s">
        <v>180</v>
      </c>
      <c r="E3360" t="s">
        <v>607</v>
      </c>
      <c r="F3360" t="s">
        <v>4740</v>
      </c>
      <c r="G3360" t="str">
        <f>"00117635"</f>
        <v>00117635</v>
      </c>
      <c r="H3360" t="s">
        <v>281</v>
      </c>
      <c r="I3360">
        <v>0</v>
      </c>
      <c r="J3360">
        <v>50</v>
      </c>
      <c r="K3360">
        <v>0</v>
      </c>
      <c r="L3360">
        <v>0</v>
      </c>
      <c r="M3360">
        <v>0</v>
      </c>
      <c r="N3360">
        <v>0</v>
      </c>
      <c r="O3360">
        <v>0</v>
      </c>
      <c r="P3360">
        <v>0</v>
      </c>
      <c r="Q3360">
        <v>0</v>
      </c>
      <c r="R3360">
        <v>0</v>
      </c>
      <c r="S3360">
        <v>0</v>
      </c>
      <c r="T3360">
        <v>0</v>
      </c>
      <c r="V3360">
        <v>0</v>
      </c>
      <c r="W3360" t="s">
        <v>4741</v>
      </c>
    </row>
    <row r="3361" spans="1:23" x14ac:dyDescent="0.25">
      <c r="H3361">
        <v>703</v>
      </c>
    </row>
    <row r="3362" spans="1:23" x14ac:dyDescent="0.25">
      <c r="A3362">
        <v>1678</v>
      </c>
      <c r="B3362">
        <v>273</v>
      </c>
      <c r="C3362" t="s">
        <v>4742</v>
      </c>
      <c r="D3362" t="s">
        <v>58</v>
      </c>
      <c r="E3362" t="s">
        <v>76</v>
      </c>
      <c r="F3362" t="s">
        <v>4743</v>
      </c>
      <c r="G3362" t="str">
        <f>"201504001578"</f>
        <v>201504001578</v>
      </c>
      <c r="H3362" t="s">
        <v>2186</v>
      </c>
      <c r="I3362">
        <v>0</v>
      </c>
      <c r="J3362">
        <v>70</v>
      </c>
      <c r="K3362">
        <v>30</v>
      </c>
      <c r="L3362">
        <v>0</v>
      </c>
      <c r="M3362">
        <v>0</v>
      </c>
      <c r="N3362">
        <v>0</v>
      </c>
      <c r="O3362">
        <v>0</v>
      </c>
      <c r="P3362">
        <v>0</v>
      </c>
      <c r="Q3362">
        <v>0</v>
      </c>
      <c r="R3362">
        <v>18</v>
      </c>
      <c r="S3362">
        <v>126</v>
      </c>
      <c r="T3362">
        <v>0</v>
      </c>
      <c r="V3362">
        <v>0</v>
      </c>
      <c r="W3362" t="s">
        <v>4741</v>
      </c>
    </row>
    <row r="3363" spans="1:23" x14ac:dyDescent="0.25">
      <c r="H3363" t="s">
        <v>70</v>
      </c>
    </row>
    <row r="3364" spans="1:23" x14ac:dyDescent="0.25">
      <c r="A3364">
        <v>1679</v>
      </c>
      <c r="B3364">
        <v>113</v>
      </c>
      <c r="C3364" t="s">
        <v>4744</v>
      </c>
      <c r="D3364" t="s">
        <v>46</v>
      </c>
      <c r="E3364" t="s">
        <v>91</v>
      </c>
      <c r="F3364" t="s">
        <v>4745</v>
      </c>
      <c r="G3364" t="str">
        <f>"00170785"</f>
        <v>00170785</v>
      </c>
      <c r="H3364" t="s">
        <v>764</v>
      </c>
      <c r="I3364">
        <v>0</v>
      </c>
      <c r="J3364">
        <v>30</v>
      </c>
      <c r="K3364">
        <v>0</v>
      </c>
      <c r="L3364">
        <v>0</v>
      </c>
      <c r="M3364">
        <v>0</v>
      </c>
      <c r="N3364">
        <v>0</v>
      </c>
      <c r="O3364">
        <v>0</v>
      </c>
      <c r="P3364">
        <v>0</v>
      </c>
      <c r="Q3364">
        <v>0</v>
      </c>
      <c r="R3364">
        <v>0</v>
      </c>
      <c r="S3364">
        <v>0</v>
      </c>
      <c r="T3364">
        <v>0</v>
      </c>
      <c r="V3364">
        <v>0</v>
      </c>
      <c r="W3364" t="s">
        <v>4746</v>
      </c>
    </row>
    <row r="3365" spans="1:23" x14ac:dyDescent="0.25">
      <c r="H3365">
        <v>703</v>
      </c>
    </row>
    <row r="3366" spans="1:23" x14ac:dyDescent="0.25">
      <c r="A3366">
        <v>1680</v>
      </c>
      <c r="B3366">
        <v>660</v>
      </c>
      <c r="C3366" t="s">
        <v>4747</v>
      </c>
      <c r="D3366" t="s">
        <v>325</v>
      </c>
      <c r="E3366" t="s">
        <v>53</v>
      </c>
      <c r="F3366" t="s">
        <v>4748</v>
      </c>
      <c r="G3366" t="str">
        <f>"201510004110"</f>
        <v>201510004110</v>
      </c>
      <c r="H3366">
        <v>1089</v>
      </c>
      <c r="I3366">
        <v>0</v>
      </c>
      <c r="J3366">
        <v>0</v>
      </c>
      <c r="K3366">
        <v>0</v>
      </c>
      <c r="L3366">
        <v>0</v>
      </c>
      <c r="M3366">
        <v>0</v>
      </c>
      <c r="N3366">
        <v>0</v>
      </c>
      <c r="O3366">
        <v>0</v>
      </c>
      <c r="P3366">
        <v>0</v>
      </c>
      <c r="Q3366">
        <v>0</v>
      </c>
      <c r="R3366">
        <v>0</v>
      </c>
      <c r="S3366">
        <v>0</v>
      </c>
      <c r="T3366">
        <v>0</v>
      </c>
      <c r="V3366">
        <v>2</v>
      </c>
      <c r="W3366">
        <v>1089</v>
      </c>
    </row>
    <row r="3367" spans="1:23" x14ac:dyDescent="0.25">
      <c r="H3367">
        <v>703</v>
      </c>
    </row>
    <row r="3368" spans="1:23" x14ac:dyDescent="0.25">
      <c r="A3368">
        <v>1681</v>
      </c>
      <c r="B3368">
        <v>1611</v>
      </c>
      <c r="C3368" t="s">
        <v>4749</v>
      </c>
      <c r="D3368" t="s">
        <v>344</v>
      </c>
      <c r="E3368" t="s">
        <v>58</v>
      </c>
      <c r="F3368" t="s">
        <v>4750</v>
      </c>
      <c r="G3368" t="str">
        <f>"00024647"</f>
        <v>00024647</v>
      </c>
      <c r="H3368">
        <v>1089</v>
      </c>
      <c r="I3368">
        <v>0</v>
      </c>
      <c r="J3368">
        <v>0</v>
      </c>
      <c r="K3368">
        <v>0</v>
      </c>
      <c r="L3368">
        <v>0</v>
      </c>
      <c r="M3368">
        <v>0</v>
      </c>
      <c r="N3368">
        <v>0</v>
      </c>
      <c r="O3368">
        <v>0</v>
      </c>
      <c r="P3368">
        <v>0</v>
      </c>
      <c r="Q3368">
        <v>0</v>
      </c>
      <c r="R3368">
        <v>0</v>
      </c>
      <c r="S3368">
        <v>0</v>
      </c>
      <c r="T3368">
        <v>0</v>
      </c>
      <c r="V3368">
        <v>1</v>
      </c>
      <c r="W3368">
        <v>1089</v>
      </c>
    </row>
    <row r="3369" spans="1:23" x14ac:dyDescent="0.25">
      <c r="H3369">
        <v>703</v>
      </c>
    </row>
    <row r="3370" spans="1:23" x14ac:dyDescent="0.25">
      <c r="A3370">
        <v>1682</v>
      </c>
      <c r="B3370">
        <v>3031</v>
      </c>
      <c r="C3370" t="s">
        <v>4751</v>
      </c>
      <c r="D3370" t="s">
        <v>610</v>
      </c>
      <c r="E3370" t="s">
        <v>227</v>
      </c>
      <c r="F3370" t="s">
        <v>4752</v>
      </c>
      <c r="G3370" t="str">
        <f>"201511023778"</f>
        <v>201511023778</v>
      </c>
      <c r="H3370">
        <v>1012</v>
      </c>
      <c r="I3370">
        <v>0</v>
      </c>
      <c r="J3370">
        <v>70</v>
      </c>
      <c r="K3370">
        <v>0</v>
      </c>
      <c r="L3370">
        <v>0</v>
      </c>
      <c r="M3370">
        <v>0</v>
      </c>
      <c r="N3370">
        <v>0</v>
      </c>
      <c r="O3370">
        <v>0</v>
      </c>
      <c r="P3370">
        <v>0</v>
      </c>
      <c r="Q3370">
        <v>0</v>
      </c>
      <c r="R3370">
        <v>1</v>
      </c>
      <c r="S3370">
        <v>7</v>
      </c>
      <c r="T3370">
        <v>0</v>
      </c>
      <c r="V3370">
        <v>0</v>
      </c>
      <c r="W3370">
        <v>1089</v>
      </c>
    </row>
    <row r="3371" spans="1:23" x14ac:dyDescent="0.25">
      <c r="H3371">
        <v>703</v>
      </c>
    </row>
    <row r="3372" spans="1:23" x14ac:dyDescent="0.25">
      <c r="A3372">
        <v>1683</v>
      </c>
      <c r="B3372">
        <v>1290</v>
      </c>
      <c r="C3372" t="s">
        <v>4753</v>
      </c>
      <c r="D3372" t="s">
        <v>4754</v>
      </c>
      <c r="E3372" t="s">
        <v>109</v>
      </c>
      <c r="F3372" t="s">
        <v>4755</v>
      </c>
      <c r="G3372" t="str">
        <f>"00202756"</f>
        <v>00202756</v>
      </c>
      <c r="H3372">
        <v>605</v>
      </c>
      <c r="I3372">
        <v>0</v>
      </c>
      <c r="J3372">
        <v>50</v>
      </c>
      <c r="K3372">
        <v>0</v>
      </c>
      <c r="L3372">
        <v>0</v>
      </c>
      <c r="M3372">
        <v>0</v>
      </c>
      <c r="N3372">
        <v>0</v>
      </c>
      <c r="O3372">
        <v>0</v>
      </c>
      <c r="P3372">
        <v>0</v>
      </c>
      <c r="Q3372">
        <v>0</v>
      </c>
      <c r="R3372">
        <v>62</v>
      </c>
      <c r="S3372">
        <v>434</v>
      </c>
      <c r="T3372">
        <v>0</v>
      </c>
      <c r="V3372">
        <v>2</v>
      </c>
      <c r="W3372">
        <v>1089</v>
      </c>
    </row>
    <row r="3373" spans="1:23" x14ac:dyDescent="0.25">
      <c r="H3373">
        <v>703</v>
      </c>
    </row>
    <row r="3374" spans="1:23" x14ac:dyDescent="0.25">
      <c r="A3374">
        <v>1684</v>
      </c>
      <c r="B3374">
        <v>1040</v>
      </c>
      <c r="C3374" t="s">
        <v>4756</v>
      </c>
      <c r="D3374" t="s">
        <v>4757</v>
      </c>
      <c r="E3374" t="s">
        <v>129</v>
      </c>
      <c r="F3374" t="s">
        <v>4758</v>
      </c>
      <c r="G3374" t="str">
        <f>"201511009599"</f>
        <v>201511009599</v>
      </c>
      <c r="H3374" t="s">
        <v>1706</v>
      </c>
      <c r="I3374">
        <v>150</v>
      </c>
      <c r="J3374">
        <v>0</v>
      </c>
      <c r="K3374">
        <v>0</v>
      </c>
      <c r="L3374">
        <v>0</v>
      </c>
      <c r="M3374">
        <v>0</v>
      </c>
      <c r="N3374">
        <v>0</v>
      </c>
      <c r="O3374">
        <v>0</v>
      </c>
      <c r="P3374">
        <v>0</v>
      </c>
      <c r="Q3374">
        <v>0</v>
      </c>
      <c r="R3374">
        <v>22</v>
      </c>
      <c r="S3374">
        <v>154</v>
      </c>
      <c r="T3374">
        <v>0</v>
      </c>
      <c r="V3374">
        <v>0</v>
      </c>
      <c r="W3374" t="s">
        <v>4759</v>
      </c>
    </row>
    <row r="3375" spans="1:23" x14ac:dyDescent="0.25">
      <c r="H3375">
        <v>703</v>
      </c>
    </row>
    <row r="3376" spans="1:23" x14ac:dyDescent="0.25">
      <c r="A3376">
        <v>1685</v>
      </c>
      <c r="B3376">
        <v>1945</v>
      </c>
      <c r="C3376" t="s">
        <v>3839</v>
      </c>
      <c r="D3376" t="s">
        <v>4760</v>
      </c>
      <c r="E3376" t="s">
        <v>33</v>
      </c>
      <c r="F3376" t="s">
        <v>4761</v>
      </c>
      <c r="G3376" t="str">
        <f>"201412003536"</f>
        <v>201412003536</v>
      </c>
      <c r="H3376">
        <v>968</v>
      </c>
      <c r="I3376">
        <v>0</v>
      </c>
      <c r="J3376">
        <v>70</v>
      </c>
      <c r="K3376">
        <v>0</v>
      </c>
      <c r="L3376">
        <v>0</v>
      </c>
      <c r="M3376">
        <v>0</v>
      </c>
      <c r="N3376">
        <v>50</v>
      </c>
      <c r="O3376">
        <v>0</v>
      </c>
      <c r="P3376">
        <v>0</v>
      </c>
      <c r="Q3376">
        <v>0</v>
      </c>
      <c r="R3376">
        <v>0</v>
      </c>
      <c r="S3376">
        <v>0</v>
      </c>
      <c r="T3376">
        <v>0</v>
      </c>
      <c r="V3376">
        <v>0</v>
      </c>
      <c r="W3376">
        <v>1088</v>
      </c>
    </row>
    <row r="3377" spans="1:23" x14ac:dyDescent="0.25">
      <c r="H3377" t="s">
        <v>70</v>
      </c>
    </row>
    <row r="3378" spans="1:23" x14ac:dyDescent="0.25">
      <c r="A3378">
        <v>1686</v>
      </c>
      <c r="B3378">
        <v>2751</v>
      </c>
      <c r="C3378" t="s">
        <v>4762</v>
      </c>
      <c r="D3378" t="s">
        <v>273</v>
      </c>
      <c r="E3378" t="s">
        <v>4763</v>
      </c>
      <c r="F3378" t="s">
        <v>4764</v>
      </c>
      <c r="G3378" t="str">
        <f>"201512002104"</f>
        <v>201512002104</v>
      </c>
      <c r="H3378" t="s">
        <v>1049</v>
      </c>
      <c r="I3378">
        <v>150</v>
      </c>
      <c r="J3378">
        <v>30</v>
      </c>
      <c r="K3378">
        <v>0</v>
      </c>
      <c r="L3378">
        <v>0</v>
      </c>
      <c r="M3378">
        <v>0</v>
      </c>
      <c r="N3378">
        <v>0</v>
      </c>
      <c r="O3378">
        <v>0</v>
      </c>
      <c r="P3378">
        <v>0</v>
      </c>
      <c r="Q3378">
        <v>0</v>
      </c>
      <c r="R3378">
        <v>0</v>
      </c>
      <c r="S3378">
        <v>0</v>
      </c>
      <c r="T3378">
        <v>0</v>
      </c>
      <c r="V3378">
        <v>0</v>
      </c>
      <c r="W3378" t="s">
        <v>4765</v>
      </c>
    </row>
    <row r="3379" spans="1:23" x14ac:dyDescent="0.25">
      <c r="H3379">
        <v>703</v>
      </c>
    </row>
    <row r="3380" spans="1:23" x14ac:dyDescent="0.25">
      <c r="A3380">
        <v>1687</v>
      </c>
      <c r="B3380">
        <v>2725</v>
      </c>
      <c r="C3380" t="s">
        <v>4766</v>
      </c>
      <c r="D3380" t="s">
        <v>20</v>
      </c>
      <c r="E3380" t="s">
        <v>33</v>
      </c>
      <c r="F3380" t="s">
        <v>4767</v>
      </c>
      <c r="G3380" t="str">
        <f>"201406002840"</f>
        <v>201406002840</v>
      </c>
      <c r="H3380">
        <v>1045</v>
      </c>
      <c r="I3380">
        <v>0</v>
      </c>
      <c r="J3380">
        <v>0</v>
      </c>
      <c r="K3380">
        <v>0</v>
      </c>
      <c r="L3380">
        <v>0</v>
      </c>
      <c r="M3380">
        <v>0</v>
      </c>
      <c r="N3380">
        <v>0</v>
      </c>
      <c r="O3380">
        <v>0</v>
      </c>
      <c r="P3380">
        <v>0</v>
      </c>
      <c r="Q3380">
        <v>0</v>
      </c>
      <c r="R3380">
        <v>6</v>
      </c>
      <c r="S3380">
        <v>42</v>
      </c>
      <c r="T3380">
        <v>0</v>
      </c>
      <c r="V3380">
        <v>0</v>
      </c>
      <c r="W3380">
        <v>1087</v>
      </c>
    </row>
    <row r="3381" spans="1:23" x14ac:dyDescent="0.25">
      <c r="H3381">
        <v>703</v>
      </c>
    </row>
    <row r="3382" spans="1:23" x14ac:dyDescent="0.25">
      <c r="A3382">
        <v>1688</v>
      </c>
      <c r="B3382">
        <v>1565</v>
      </c>
      <c r="C3382" t="s">
        <v>4768</v>
      </c>
      <c r="D3382" t="s">
        <v>166</v>
      </c>
      <c r="E3382" t="s">
        <v>227</v>
      </c>
      <c r="F3382" t="s">
        <v>4769</v>
      </c>
      <c r="G3382" t="str">
        <f>"201406018966"</f>
        <v>201406018966</v>
      </c>
      <c r="H3382">
        <v>825</v>
      </c>
      <c r="I3382">
        <v>0</v>
      </c>
      <c r="J3382">
        <v>30</v>
      </c>
      <c r="K3382">
        <v>0</v>
      </c>
      <c r="L3382">
        <v>50</v>
      </c>
      <c r="M3382">
        <v>0</v>
      </c>
      <c r="N3382">
        <v>0</v>
      </c>
      <c r="O3382">
        <v>0</v>
      </c>
      <c r="P3382">
        <v>0</v>
      </c>
      <c r="Q3382">
        <v>0</v>
      </c>
      <c r="R3382">
        <v>26</v>
      </c>
      <c r="S3382">
        <v>182</v>
      </c>
      <c r="T3382">
        <v>0</v>
      </c>
      <c r="V3382">
        <v>0</v>
      </c>
      <c r="W3382">
        <v>1087</v>
      </c>
    </row>
    <row r="3383" spans="1:23" x14ac:dyDescent="0.25">
      <c r="H3383" t="s">
        <v>70</v>
      </c>
    </row>
    <row r="3384" spans="1:23" x14ac:dyDescent="0.25">
      <c r="A3384">
        <v>1689</v>
      </c>
      <c r="B3384">
        <v>2686</v>
      </c>
      <c r="C3384" t="s">
        <v>4770</v>
      </c>
      <c r="D3384" t="s">
        <v>4771</v>
      </c>
      <c r="E3384" t="s">
        <v>76</v>
      </c>
      <c r="F3384" t="s">
        <v>4772</v>
      </c>
      <c r="G3384" t="str">
        <f>"201406008017"</f>
        <v>201406008017</v>
      </c>
      <c r="H3384">
        <v>1056</v>
      </c>
      <c r="I3384">
        <v>0</v>
      </c>
      <c r="J3384">
        <v>30</v>
      </c>
      <c r="K3384">
        <v>0</v>
      </c>
      <c r="L3384">
        <v>0</v>
      </c>
      <c r="M3384">
        <v>0</v>
      </c>
      <c r="N3384">
        <v>0</v>
      </c>
      <c r="O3384">
        <v>0</v>
      </c>
      <c r="P3384">
        <v>0</v>
      </c>
      <c r="Q3384">
        <v>0</v>
      </c>
      <c r="R3384">
        <v>0</v>
      </c>
      <c r="S3384">
        <v>0</v>
      </c>
      <c r="T3384">
        <v>0</v>
      </c>
      <c r="V3384">
        <v>0</v>
      </c>
      <c r="W3384">
        <v>1086</v>
      </c>
    </row>
    <row r="3385" spans="1:23" x14ac:dyDescent="0.25">
      <c r="H3385">
        <v>703</v>
      </c>
    </row>
    <row r="3386" spans="1:23" x14ac:dyDescent="0.25">
      <c r="A3386">
        <v>1690</v>
      </c>
      <c r="B3386">
        <v>2249</v>
      </c>
      <c r="C3386" t="s">
        <v>4773</v>
      </c>
      <c r="D3386" t="s">
        <v>4774</v>
      </c>
      <c r="E3386" t="s">
        <v>109</v>
      </c>
      <c r="F3386" t="s">
        <v>4775</v>
      </c>
      <c r="G3386" t="str">
        <f>"00229483"</f>
        <v>00229483</v>
      </c>
      <c r="H3386">
        <v>979</v>
      </c>
      <c r="I3386">
        <v>0</v>
      </c>
      <c r="J3386">
        <v>30</v>
      </c>
      <c r="K3386">
        <v>0</v>
      </c>
      <c r="L3386">
        <v>0</v>
      </c>
      <c r="M3386">
        <v>0</v>
      </c>
      <c r="N3386">
        <v>0</v>
      </c>
      <c r="O3386">
        <v>0</v>
      </c>
      <c r="P3386">
        <v>0</v>
      </c>
      <c r="Q3386">
        <v>0</v>
      </c>
      <c r="R3386">
        <v>11</v>
      </c>
      <c r="S3386">
        <v>77</v>
      </c>
      <c r="T3386">
        <v>0</v>
      </c>
      <c r="V3386">
        <v>2</v>
      </c>
      <c r="W3386">
        <v>1086</v>
      </c>
    </row>
    <row r="3387" spans="1:23" x14ac:dyDescent="0.25">
      <c r="H3387" t="s">
        <v>70</v>
      </c>
    </row>
    <row r="3388" spans="1:23" x14ac:dyDescent="0.25">
      <c r="A3388">
        <v>1691</v>
      </c>
      <c r="B3388">
        <v>1827</v>
      </c>
      <c r="C3388" t="s">
        <v>4776</v>
      </c>
      <c r="D3388" t="s">
        <v>76</v>
      </c>
      <c r="E3388" t="s">
        <v>99</v>
      </c>
      <c r="F3388" t="s">
        <v>4777</v>
      </c>
      <c r="G3388" t="str">
        <f>"201511042748"</f>
        <v>201511042748</v>
      </c>
      <c r="H3388" t="s">
        <v>4778</v>
      </c>
      <c r="I3388">
        <v>150</v>
      </c>
      <c r="J3388">
        <v>30</v>
      </c>
      <c r="K3388">
        <v>0</v>
      </c>
      <c r="L3388">
        <v>0</v>
      </c>
      <c r="M3388">
        <v>0</v>
      </c>
      <c r="N3388">
        <v>0</v>
      </c>
      <c r="O3388">
        <v>0</v>
      </c>
      <c r="P3388">
        <v>0</v>
      </c>
      <c r="Q3388">
        <v>0</v>
      </c>
      <c r="R3388">
        <v>0</v>
      </c>
      <c r="S3388">
        <v>0</v>
      </c>
      <c r="T3388">
        <v>0</v>
      </c>
      <c r="V3388">
        <v>0</v>
      </c>
      <c r="W3388" t="s">
        <v>4779</v>
      </c>
    </row>
    <row r="3389" spans="1:23" x14ac:dyDescent="0.25">
      <c r="H3389">
        <v>703</v>
      </c>
    </row>
    <row r="3390" spans="1:23" x14ac:dyDescent="0.25">
      <c r="A3390">
        <v>1692</v>
      </c>
      <c r="B3390">
        <v>2059</v>
      </c>
      <c r="C3390" t="s">
        <v>329</v>
      </c>
      <c r="D3390" t="s">
        <v>46</v>
      </c>
      <c r="E3390" t="s">
        <v>15</v>
      </c>
      <c r="F3390" t="s">
        <v>4780</v>
      </c>
      <c r="G3390" t="str">
        <f>"00229531"</f>
        <v>00229531</v>
      </c>
      <c r="H3390">
        <v>935</v>
      </c>
      <c r="I3390">
        <v>150</v>
      </c>
      <c r="J3390">
        <v>0</v>
      </c>
      <c r="K3390">
        <v>0</v>
      </c>
      <c r="L3390">
        <v>0</v>
      </c>
      <c r="M3390">
        <v>0</v>
      </c>
      <c r="N3390">
        <v>0</v>
      </c>
      <c r="O3390">
        <v>0</v>
      </c>
      <c r="P3390">
        <v>0</v>
      </c>
      <c r="Q3390">
        <v>0</v>
      </c>
      <c r="R3390">
        <v>0</v>
      </c>
      <c r="S3390">
        <v>0</v>
      </c>
      <c r="T3390">
        <v>0</v>
      </c>
      <c r="V3390">
        <v>0</v>
      </c>
      <c r="W3390">
        <v>1085</v>
      </c>
    </row>
    <row r="3391" spans="1:23" x14ac:dyDescent="0.25">
      <c r="H3391" t="s">
        <v>2316</v>
      </c>
    </row>
    <row r="3392" spans="1:23" x14ac:dyDescent="0.25">
      <c r="A3392">
        <v>1693</v>
      </c>
      <c r="B3392">
        <v>2455</v>
      </c>
      <c r="C3392" t="s">
        <v>1683</v>
      </c>
      <c r="D3392" t="s">
        <v>227</v>
      </c>
      <c r="E3392" t="s">
        <v>33</v>
      </c>
      <c r="F3392" t="s">
        <v>4781</v>
      </c>
      <c r="G3392" t="str">
        <f>"201511021244"</f>
        <v>201511021244</v>
      </c>
      <c r="H3392">
        <v>935</v>
      </c>
      <c r="I3392">
        <v>150</v>
      </c>
      <c r="J3392">
        <v>0</v>
      </c>
      <c r="K3392">
        <v>0</v>
      </c>
      <c r="L3392">
        <v>0</v>
      </c>
      <c r="M3392">
        <v>0</v>
      </c>
      <c r="N3392">
        <v>0</v>
      </c>
      <c r="O3392">
        <v>0</v>
      </c>
      <c r="P3392">
        <v>0</v>
      </c>
      <c r="Q3392">
        <v>0</v>
      </c>
      <c r="R3392">
        <v>0</v>
      </c>
      <c r="S3392">
        <v>0</v>
      </c>
      <c r="T3392">
        <v>0</v>
      </c>
      <c r="V3392">
        <v>0</v>
      </c>
      <c r="W3392">
        <v>1085</v>
      </c>
    </row>
    <row r="3393" spans="1:23" x14ac:dyDescent="0.25">
      <c r="H3393">
        <v>703</v>
      </c>
    </row>
    <row r="3394" spans="1:23" x14ac:dyDescent="0.25">
      <c r="A3394">
        <v>1694</v>
      </c>
      <c r="B3394">
        <v>1466</v>
      </c>
      <c r="C3394" t="s">
        <v>3701</v>
      </c>
      <c r="D3394" t="s">
        <v>325</v>
      </c>
      <c r="E3394" t="s">
        <v>752</v>
      </c>
      <c r="F3394" t="s">
        <v>4782</v>
      </c>
      <c r="G3394" t="str">
        <f>"201511026085"</f>
        <v>201511026085</v>
      </c>
      <c r="H3394">
        <v>935</v>
      </c>
      <c r="I3394">
        <v>150</v>
      </c>
      <c r="J3394">
        <v>0</v>
      </c>
      <c r="K3394">
        <v>0</v>
      </c>
      <c r="L3394">
        <v>0</v>
      </c>
      <c r="M3394">
        <v>0</v>
      </c>
      <c r="N3394">
        <v>0</v>
      </c>
      <c r="O3394">
        <v>0</v>
      </c>
      <c r="P3394">
        <v>0</v>
      </c>
      <c r="Q3394">
        <v>0</v>
      </c>
      <c r="R3394">
        <v>0</v>
      </c>
      <c r="S3394">
        <v>0</v>
      </c>
      <c r="T3394">
        <v>0</v>
      </c>
      <c r="V3394">
        <v>0</v>
      </c>
      <c r="W3394">
        <v>1085</v>
      </c>
    </row>
    <row r="3395" spans="1:23" x14ac:dyDescent="0.25">
      <c r="H3395">
        <v>703</v>
      </c>
    </row>
    <row r="3396" spans="1:23" x14ac:dyDescent="0.25">
      <c r="A3396">
        <v>1695</v>
      </c>
      <c r="B3396">
        <v>2607</v>
      </c>
      <c r="C3396" t="s">
        <v>4783</v>
      </c>
      <c r="D3396" t="s">
        <v>912</v>
      </c>
      <c r="E3396" t="s">
        <v>105</v>
      </c>
      <c r="F3396" t="s">
        <v>4784</v>
      </c>
      <c r="G3396" t="str">
        <f>"00226552"</f>
        <v>00226552</v>
      </c>
      <c r="H3396" t="s">
        <v>1097</v>
      </c>
      <c r="I3396">
        <v>0</v>
      </c>
      <c r="J3396">
        <v>70</v>
      </c>
      <c r="K3396">
        <v>0</v>
      </c>
      <c r="L3396">
        <v>0</v>
      </c>
      <c r="M3396">
        <v>0</v>
      </c>
      <c r="N3396">
        <v>0</v>
      </c>
      <c r="O3396">
        <v>0</v>
      </c>
      <c r="P3396">
        <v>0</v>
      </c>
      <c r="Q3396">
        <v>0</v>
      </c>
      <c r="R3396">
        <v>0</v>
      </c>
      <c r="S3396">
        <v>0</v>
      </c>
      <c r="T3396">
        <v>0</v>
      </c>
      <c r="V3396">
        <v>0</v>
      </c>
      <c r="W3396" t="s">
        <v>4785</v>
      </c>
    </row>
    <row r="3397" spans="1:23" x14ac:dyDescent="0.25">
      <c r="H3397">
        <v>703</v>
      </c>
    </row>
    <row r="3398" spans="1:23" x14ac:dyDescent="0.25">
      <c r="A3398">
        <v>1696</v>
      </c>
      <c r="B3398">
        <v>2660</v>
      </c>
      <c r="C3398" t="s">
        <v>1595</v>
      </c>
      <c r="D3398" t="s">
        <v>185</v>
      </c>
      <c r="E3398" t="s">
        <v>322</v>
      </c>
      <c r="F3398" t="s">
        <v>4786</v>
      </c>
      <c r="G3398" t="str">
        <f>"00224418"</f>
        <v>00224418</v>
      </c>
      <c r="H3398">
        <v>1034</v>
      </c>
      <c r="I3398">
        <v>0</v>
      </c>
      <c r="J3398">
        <v>50</v>
      </c>
      <c r="K3398">
        <v>0</v>
      </c>
      <c r="L3398">
        <v>0</v>
      </c>
      <c r="M3398">
        <v>0</v>
      </c>
      <c r="N3398">
        <v>0</v>
      </c>
      <c r="O3398">
        <v>0</v>
      </c>
      <c r="P3398">
        <v>0</v>
      </c>
      <c r="Q3398">
        <v>0</v>
      </c>
      <c r="R3398">
        <v>0</v>
      </c>
      <c r="S3398">
        <v>0</v>
      </c>
      <c r="T3398">
        <v>0</v>
      </c>
      <c r="V3398">
        <v>0</v>
      </c>
      <c r="W3398">
        <v>1084</v>
      </c>
    </row>
    <row r="3399" spans="1:23" x14ac:dyDescent="0.25">
      <c r="H3399">
        <v>703</v>
      </c>
    </row>
    <row r="3400" spans="1:23" x14ac:dyDescent="0.25">
      <c r="A3400">
        <v>1697</v>
      </c>
      <c r="B3400">
        <v>1424</v>
      </c>
      <c r="C3400" t="s">
        <v>4787</v>
      </c>
      <c r="D3400" t="s">
        <v>912</v>
      </c>
      <c r="E3400" t="s">
        <v>4788</v>
      </c>
      <c r="F3400" t="s">
        <v>4789</v>
      </c>
      <c r="G3400" t="str">
        <f>"00046749"</f>
        <v>00046749</v>
      </c>
      <c r="H3400">
        <v>1012</v>
      </c>
      <c r="I3400">
        <v>0</v>
      </c>
      <c r="J3400">
        <v>30</v>
      </c>
      <c r="K3400">
        <v>0</v>
      </c>
      <c r="L3400">
        <v>0</v>
      </c>
      <c r="M3400">
        <v>0</v>
      </c>
      <c r="N3400">
        <v>0</v>
      </c>
      <c r="O3400">
        <v>0</v>
      </c>
      <c r="P3400">
        <v>0</v>
      </c>
      <c r="Q3400">
        <v>0</v>
      </c>
      <c r="R3400">
        <v>6</v>
      </c>
      <c r="S3400">
        <v>42</v>
      </c>
      <c r="T3400">
        <v>0</v>
      </c>
      <c r="V3400">
        <v>1</v>
      </c>
      <c r="W3400">
        <v>1084</v>
      </c>
    </row>
    <row r="3401" spans="1:23" x14ac:dyDescent="0.25">
      <c r="H3401">
        <v>703</v>
      </c>
    </row>
    <row r="3402" spans="1:23" x14ac:dyDescent="0.25">
      <c r="A3402">
        <v>1698</v>
      </c>
      <c r="B3402">
        <v>2452</v>
      </c>
      <c r="C3402" t="s">
        <v>4790</v>
      </c>
      <c r="D3402" t="s">
        <v>46</v>
      </c>
      <c r="E3402" t="s">
        <v>109</v>
      </c>
      <c r="F3402" t="s">
        <v>4791</v>
      </c>
      <c r="G3402" t="str">
        <f>"00145842"</f>
        <v>00145842</v>
      </c>
      <c r="H3402" t="s">
        <v>237</v>
      </c>
      <c r="I3402">
        <v>0</v>
      </c>
      <c r="J3402">
        <v>70</v>
      </c>
      <c r="K3402">
        <v>0</v>
      </c>
      <c r="L3402">
        <v>0</v>
      </c>
      <c r="M3402">
        <v>0</v>
      </c>
      <c r="N3402">
        <v>0</v>
      </c>
      <c r="O3402">
        <v>0</v>
      </c>
      <c r="P3402">
        <v>0</v>
      </c>
      <c r="Q3402">
        <v>0</v>
      </c>
      <c r="R3402">
        <v>1</v>
      </c>
      <c r="S3402">
        <v>7</v>
      </c>
      <c r="T3402">
        <v>0</v>
      </c>
      <c r="V3402">
        <v>2</v>
      </c>
      <c r="W3402" t="s">
        <v>209</v>
      </c>
    </row>
    <row r="3403" spans="1:23" x14ac:dyDescent="0.25">
      <c r="H3403">
        <v>703</v>
      </c>
    </row>
    <row r="3404" spans="1:23" x14ac:dyDescent="0.25">
      <c r="A3404">
        <v>1699</v>
      </c>
      <c r="B3404">
        <v>1599</v>
      </c>
      <c r="C3404" t="s">
        <v>1079</v>
      </c>
      <c r="D3404" t="s">
        <v>46</v>
      </c>
      <c r="E3404" t="s">
        <v>62</v>
      </c>
      <c r="F3404" t="s">
        <v>4792</v>
      </c>
      <c r="G3404" t="str">
        <f>"00223410"</f>
        <v>00223410</v>
      </c>
      <c r="H3404" t="s">
        <v>2186</v>
      </c>
      <c r="I3404">
        <v>150</v>
      </c>
      <c r="J3404">
        <v>70</v>
      </c>
      <c r="K3404">
        <v>0</v>
      </c>
      <c r="L3404">
        <v>0</v>
      </c>
      <c r="M3404">
        <v>0</v>
      </c>
      <c r="N3404">
        <v>0</v>
      </c>
      <c r="O3404">
        <v>0</v>
      </c>
      <c r="P3404">
        <v>0</v>
      </c>
      <c r="Q3404">
        <v>0</v>
      </c>
      <c r="R3404">
        <v>0</v>
      </c>
      <c r="S3404">
        <v>0</v>
      </c>
      <c r="T3404">
        <v>0</v>
      </c>
      <c r="V3404">
        <v>0</v>
      </c>
      <c r="W3404" t="s">
        <v>209</v>
      </c>
    </row>
    <row r="3405" spans="1:23" x14ac:dyDescent="0.25">
      <c r="H3405">
        <v>703</v>
      </c>
    </row>
    <row r="3406" spans="1:23" x14ac:dyDescent="0.25">
      <c r="A3406">
        <v>1700</v>
      </c>
      <c r="B3406">
        <v>1977</v>
      </c>
      <c r="C3406" t="s">
        <v>4793</v>
      </c>
      <c r="D3406" t="s">
        <v>227</v>
      </c>
      <c r="E3406" t="s">
        <v>15</v>
      </c>
      <c r="F3406" t="s">
        <v>4794</v>
      </c>
      <c r="G3406" t="str">
        <f>"00122353"</f>
        <v>00122353</v>
      </c>
      <c r="H3406" t="s">
        <v>1638</v>
      </c>
      <c r="I3406">
        <v>0</v>
      </c>
      <c r="J3406">
        <v>70</v>
      </c>
      <c r="K3406">
        <v>0</v>
      </c>
      <c r="L3406">
        <v>0</v>
      </c>
      <c r="M3406">
        <v>0</v>
      </c>
      <c r="N3406">
        <v>0</v>
      </c>
      <c r="O3406">
        <v>0</v>
      </c>
      <c r="P3406">
        <v>0</v>
      </c>
      <c r="Q3406">
        <v>0</v>
      </c>
      <c r="R3406">
        <v>0</v>
      </c>
      <c r="S3406">
        <v>0</v>
      </c>
      <c r="T3406">
        <v>0</v>
      </c>
      <c r="V3406">
        <v>0</v>
      </c>
      <c r="W3406" t="s">
        <v>4795</v>
      </c>
    </row>
    <row r="3407" spans="1:23" x14ac:dyDescent="0.25">
      <c r="H3407">
        <v>703</v>
      </c>
    </row>
    <row r="3408" spans="1:23" x14ac:dyDescent="0.25">
      <c r="A3408">
        <v>1701</v>
      </c>
      <c r="B3408">
        <v>760</v>
      </c>
      <c r="C3408" t="s">
        <v>146</v>
      </c>
      <c r="D3408" t="s">
        <v>432</v>
      </c>
      <c r="E3408" t="s">
        <v>2739</v>
      </c>
      <c r="F3408" t="s">
        <v>4796</v>
      </c>
      <c r="G3408" t="str">
        <f>"00157245"</f>
        <v>00157245</v>
      </c>
      <c r="H3408">
        <v>1023</v>
      </c>
      <c r="I3408">
        <v>0</v>
      </c>
      <c r="J3408">
        <v>30</v>
      </c>
      <c r="K3408">
        <v>30</v>
      </c>
      <c r="L3408">
        <v>0</v>
      </c>
      <c r="M3408">
        <v>0</v>
      </c>
      <c r="N3408">
        <v>0</v>
      </c>
      <c r="O3408">
        <v>0</v>
      </c>
      <c r="P3408">
        <v>0</v>
      </c>
      <c r="Q3408">
        <v>0</v>
      </c>
      <c r="R3408">
        <v>0</v>
      </c>
      <c r="S3408">
        <v>0</v>
      </c>
      <c r="T3408">
        <v>0</v>
      </c>
      <c r="V3408">
        <v>0</v>
      </c>
      <c r="W3408">
        <v>1083</v>
      </c>
    </row>
    <row r="3409" spans="1:23" x14ac:dyDescent="0.25">
      <c r="H3409" t="s">
        <v>70</v>
      </c>
    </row>
    <row r="3410" spans="1:23" x14ac:dyDescent="0.25">
      <c r="A3410">
        <v>1702</v>
      </c>
      <c r="B3410">
        <v>257</v>
      </c>
      <c r="C3410" t="s">
        <v>4797</v>
      </c>
      <c r="D3410" t="s">
        <v>285</v>
      </c>
      <c r="E3410" t="s">
        <v>76</v>
      </c>
      <c r="F3410" t="s">
        <v>4798</v>
      </c>
      <c r="G3410" t="str">
        <f>"00191091"</f>
        <v>00191091</v>
      </c>
      <c r="H3410" t="s">
        <v>1742</v>
      </c>
      <c r="I3410">
        <v>0</v>
      </c>
      <c r="J3410">
        <v>30</v>
      </c>
      <c r="K3410">
        <v>0</v>
      </c>
      <c r="L3410">
        <v>0</v>
      </c>
      <c r="M3410">
        <v>0</v>
      </c>
      <c r="N3410">
        <v>0</v>
      </c>
      <c r="O3410">
        <v>0</v>
      </c>
      <c r="P3410">
        <v>0</v>
      </c>
      <c r="Q3410">
        <v>0</v>
      </c>
      <c r="R3410">
        <v>39</v>
      </c>
      <c r="S3410">
        <v>273</v>
      </c>
      <c r="T3410">
        <v>0</v>
      </c>
      <c r="V3410">
        <v>1</v>
      </c>
      <c r="W3410" t="s">
        <v>4799</v>
      </c>
    </row>
    <row r="3411" spans="1:23" x14ac:dyDescent="0.25">
      <c r="H3411">
        <v>703</v>
      </c>
    </row>
    <row r="3412" spans="1:23" x14ac:dyDescent="0.25">
      <c r="A3412">
        <v>1703</v>
      </c>
      <c r="B3412">
        <v>2769</v>
      </c>
      <c r="C3412" t="s">
        <v>4800</v>
      </c>
      <c r="D3412" t="s">
        <v>4801</v>
      </c>
      <c r="E3412" t="s">
        <v>41</v>
      </c>
      <c r="F3412" t="s">
        <v>4802</v>
      </c>
      <c r="G3412" t="str">
        <f>"00012227"</f>
        <v>00012227</v>
      </c>
      <c r="H3412">
        <v>1012</v>
      </c>
      <c r="I3412">
        <v>0</v>
      </c>
      <c r="J3412">
        <v>70</v>
      </c>
      <c r="K3412">
        <v>0</v>
      </c>
      <c r="L3412">
        <v>0</v>
      </c>
      <c r="M3412">
        <v>0</v>
      </c>
      <c r="N3412">
        <v>0</v>
      </c>
      <c r="O3412">
        <v>0</v>
      </c>
      <c r="P3412">
        <v>0</v>
      </c>
      <c r="Q3412">
        <v>0</v>
      </c>
      <c r="R3412">
        <v>0</v>
      </c>
      <c r="S3412">
        <v>0</v>
      </c>
      <c r="T3412">
        <v>0</v>
      </c>
      <c r="V3412">
        <v>0</v>
      </c>
      <c r="W3412">
        <v>1082</v>
      </c>
    </row>
    <row r="3413" spans="1:23" x14ac:dyDescent="0.25">
      <c r="H3413" t="s">
        <v>70</v>
      </c>
    </row>
    <row r="3414" spans="1:23" x14ac:dyDescent="0.25">
      <c r="A3414">
        <v>1704</v>
      </c>
      <c r="B3414">
        <v>797</v>
      </c>
      <c r="C3414" t="s">
        <v>4803</v>
      </c>
      <c r="D3414" t="s">
        <v>28</v>
      </c>
      <c r="E3414" t="s">
        <v>4804</v>
      </c>
      <c r="F3414" t="s">
        <v>4805</v>
      </c>
      <c r="G3414" t="str">
        <f>"00079592"</f>
        <v>00079592</v>
      </c>
      <c r="H3414">
        <v>1012</v>
      </c>
      <c r="I3414">
        <v>0</v>
      </c>
      <c r="J3414">
        <v>70</v>
      </c>
      <c r="K3414">
        <v>0</v>
      </c>
      <c r="L3414">
        <v>0</v>
      </c>
      <c r="M3414">
        <v>0</v>
      </c>
      <c r="N3414">
        <v>0</v>
      </c>
      <c r="O3414">
        <v>0</v>
      </c>
      <c r="P3414">
        <v>0</v>
      </c>
      <c r="Q3414">
        <v>0</v>
      </c>
      <c r="R3414">
        <v>0</v>
      </c>
      <c r="S3414">
        <v>0</v>
      </c>
      <c r="T3414">
        <v>0</v>
      </c>
      <c r="V3414">
        <v>0</v>
      </c>
      <c r="W3414">
        <v>1082</v>
      </c>
    </row>
    <row r="3415" spans="1:23" x14ac:dyDescent="0.25">
      <c r="H3415">
        <v>703</v>
      </c>
    </row>
    <row r="3416" spans="1:23" x14ac:dyDescent="0.25">
      <c r="A3416">
        <v>1705</v>
      </c>
      <c r="B3416">
        <v>838</v>
      </c>
      <c r="C3416" t="s">
        <v>3904</v>
      </c>
      <c r="D3416" t="s">
        <v>87</v>
      </c>
      <c r="E3416" t="s">
        <v>15</v>
      </c>
      <c r="F3416" t="s">
        <v>4806</v>
      </c>
      <c r="G3416" t="str">
        <f>"00224519"</f>
        <v>00224519</v>
      </c>
      <c r="H3416">
        <v>1012</v>
      </c>
      <c r="I3416">
        <v>0</v>
      </c>
      <c r="J3416">
        <v>70</v>
      </c>
      <c r="K3416">
        <v>0</v>
      </c>
      <c r="L3416">
        <v>0</v>
      </c>
      <c r="M3416">
        <v>0</v>
      </c>
      <c r="N3416">
        <v>0</v>
      </c>
      <c r="O3416">
        <v>0</v>
      </c>
      <c r="P3416">
        <v>0</v>
      </c>
      <c r="Q3416">
        <v>0</v>
      </c>
      <c r="R3416">
        <v>0</v>
      </c>
      <c r="S3416">
        <v>0</v>
      </c>
      <c r="T3416">
        <v>0</v>
      </c>
      <c r="V3416">
        <v>0</v>
      </c>
      <c r="W3416">
        <v>1082</v>
      </c>
    </row>
    <row r="3417" spans="1:23" x14ac:dyDescent="0.25">
      <c r="H3417">
        <v>703</v>
      </c>
    </row>
    <row r="3418" spans="1:23" x14ac:dyDescent="0.25">
      <c r="A3418">
        <v>1706</v>
      </c>
      <c r="B3418">
        <v>434</v>
      </c>
      <c r="C3418" t="s">
        <v>4807</v>
      </c>
      <c r="D3418" t="s">
        <v>185</v>
      </c>
      <c r="E3418" t="s">
        <v>109</v>
      </c>
      <c r="F3418" t="s">
        <v>4808</v>
      </c>
      <c r="G3418" t="str">
        <f>"201406005693"</f>
        <v>201406005693</v>
      </c>
      <c r="H3418">
        <v>891</v>
      </c>
      <c r="I3418">
        <v>0</v>
      </c>
      <c r="J3418">
        <v>50</v>
      </c>
      <c r="K3418">
        <v>50</v>
      </c>
      <c r="L3418">
        <v>0</v>
      </c>
      <c r="M3418">
        <v>0</v>
      </c>
      <c r="N3418">
        <v>0</v>
      </c>
      <c r="O3418">
        <v>0</v>
      </c>
      <c r="P3418">
        <v>0</v>
      </c>
      <c r="Q3418">
        <v>0</v>
      </c>
      <c r="R3418">
        <v>13</v>
      </c>
      <c r="S3418">
        <v>91</v>
      </c>
      <c r="T3418">
        <v>0</v>
      </c>
      <c r="V3418">
        <v>1</v>
      </c>
      <c r="W3418">
        <v>1082</v>
      </c>
    </row>
    <row r="3419" spans="1:23" x14ac:dyDescent="0.25">
      <c r="H3419" t="s">
        <v>26</v>
      </c>
    </row>
    <row r="3420" spans="1:23" x14ac:dyDescent="0.25">
      <c r="A3420">
        <v>1707</v>
      </c>
      <c r="B3420">
        <v>2545</v>
      </c>
      <c r="C3420" t="s">
        <v>200</v>
      </c>
      <c r="D3420" t="s">
        <v>40</v>
      </c>
      <c r="E3420" t="s">
        <v>109</v>
      </c>
      <c r="F3420" t="s">
        <v>4809</v>
      </c>
      <c r="G3420" t="str">
        <f>"201410005348"</f>
        <v>201410005348</v>
      </c>
      <c r="H3420" t="s">
        <v>2235</v>
      </c>
      <c r="I3420">
        <v>0</v>
      </c>
      <c r="J3420">
        <v>30</v>
      </c>
      <c r="K3420">
        <v>0</v>
      </c>
      <c r="L3420">
        <v>0</v>
      </c>
      <c r="M3420">
        <v>0</v>
      </c>
      <c r="N3420">
        <v>0</v>
      </c>
      <c r="O3420">
        <v>0</v>
      </c>
      <c r="P3420">
        <v>0</v>
      </c>
      <c r="Q3420">
        <v>0</v>
      </c>
      <c r="R3420">
        <v>30</v>
      </c>
      <c r="S3420">
        <v>210</v>
      </c>
      <c r="T3420">
        <v>0</v>
      </c>
      <c r="V3420">
        <v>0</v>
      </c>
      <c r="W3420" t="s">
        <v>4810</v>
      </c>
    </row>
    <row r="3421" spans="1:23" x14ac:dyDescent="0.25">
      <c r="H3421" t="s">
        <v>26</v>
      </c>
    </row>
    <row r="3422" spans="1:23" x14ac:dyDescent="0.25">
      <c r="A3422">
        <v>1708</v>
      </c>
      <c r="B3422">
        <v>2391</v>
      </c>
      <c r="C3422" t="s">
        <v>4811</v>
      </c>
      <c r="D3422" t="s">
        <v>28</v>
      </c>
      <c r="E3422" t="s">
        <v>478</v>
      </c>
      <c r="F3422" t="s">
        <v>4812</v>
      </c>
      <c r="G3422" t="str">
        <f>"00082037"</f>
        <v>00082037</v>
      </c>
      <c r="H3422" t="s">
        <v>4467</v>
      </c>
      <c r="I3422">
        <v>0</v>
      </c>
      <c r="J3422">
        <v>0</v>
      </c>
      <c r="K3422">
        <v>0</v>
      </c>
      <c r="L3422">
        <v>0</v>
      </c>
      <c r="M3422">
        <v>0</v>
      </c>
      <c r="N3422">
        <v>0</v>
      </c>
      <c r="O3422">
        <v>0</v>
      </c>
      <c r="P3422">
        <v>0</v>
      </c>
      <c r="Q3422">
        <v>0</v>
      </c>
      <c r="R3422">
        <v>61</v>
      </c>
      <c r="S3422">
        <v>427</v>
      </c>
      <c r="T3422">
        <v>0</v>
      </c>
      <c r="V3422">
        <v>0</v>
      </c>
      <c r="W3422" t="s">
        <v>4810</v>
      </c>
    </row>
    <row r="3423" spans="1:23" x14ac:dyDescent="0.25">
      <c r="H3423">
        <v>703</v>
      </c>
    </row>
    <row r="3424" spans="1:23" x14ac:dyDescent="0.25">
      <c r="A3424">
        <v>1709</v>
      </c>
      <c r="B3424">
        <v>544</v>
      </c>
      <c r="C3424" t="s">
        <v>4673</v>
      </c>
      <c r="D3424" t="s">
        <v>798</v>
      </c>
      <c r="E3424" t="s">
        <v>79</v>
      </c>
      <c r="F3424" t="s">
        <v>4813</v>
      </c>
      <c r="G3424" t="str">
        <f>"00190563"</f>
        <v>00190563</v>
      </c>
      <c r="H3424" t="s">
        <v>177</v>
      </c>
      <c r="I3424">
        <v>0</v>
      </c>
      <c r="J3424">
        <v>0</v>
      </c>
      <c r="K3424">
        <v>0</v>
      </c>
      <c r="L3424">
        <v>0</v>
      </c>
      <c r="M3424">
        <v>0</v>
      </c>
      <c r="N3424">
        <v>0</v>
      </c>
      <c r="O3424">
        <v>0</v>
      </c>
      <c r="P3424">
        <v>0</v>
      </c>
      <c r="Q3424">
        <v>0</v>
      </c>
      <c r="R3424">
        <v>0</v>
      </c>
      <c r="S3424">
        <v>0</v>
      </c>
      <c r="T3424">
        <v>0</v>
      </c>
      <c r="V3424">
        <v>0</v>
      </c>
      <c r="W3424" t="s">
        <v>177</v>
      </c>
    </row>
    <row r="3425" spans="1:23" x14ac:dyDescent="0.25">
      <c r="H3425" t="s">
        <v>70</v>
      </c>
    </row>
    <row r="3426" spans="1:23" x14ac:dyDescent="0.25">
      <c r="A3426">
        <v>1710</v>
      </c>
      <c r="B3426">
        <v>2834</v>
      </c>
      <c r="C3426" t="s">
        <v>4814</v>
      </c>
      <c r="D3426" t="s">
        <v>273</v>
      </c>
      <c r="E3426" t="s">
        <v>24</v>
      </c>
      <c r="F3426" t="s">
        <v>4815</v>
      </c>
      <c r="G3426" t="str">
        <f>"00113816"</f>
        <v>00113816</v>
      </c>
      <c r="H3426" t="s">
        <v>73</v>
      </c>
      <c r="I3426">
        <v>0</v>
      </c>
      <c r="J3426">
        <v>30</v>
      </c>
      <c r="K3426">
        <v>0</v>
      </c>
      <c r="L3426">
        <v>0</v>
      </c>
      <c r="M3426">
        <v>0</v>
      </c>
      <c r="N3426">
        <v>0</v>
      </c>
      <c r="O3426">
        <v>0</v>
      </c>
      <c r="P3426">
        <v>0</v>
      </c>
      <c r="Q3426">
        <v>0</v>
      </c>
      <c r="R3426">
        <v>0</v>
      </c>
      <c r="S3426">
        <v>0</v>
      </c>
      <c r="T3426">
        <v>0</v>
      </c>
      <c r="V3426">
        <v>0</v>
      </c>
      <c r="W3426" t="s">
        <v>4816</v>
      </c>
    </row>
    <row r="3427" spans="1:23" x14ac:dyDescent="0.25">
      <c r="H3427">
        <v>703</v>
      </c>
    </row>
    <row r="3428" spans="1:23" x14ac:dyDescent="0.25">
      <c r="A3428">
        <v>1711</v>
      </c>
      <c r="B3428">
        <v>840</v>
      </c>
      <c r="C3428" t="s">
        <v>4817</v>
      </c>
      <c r="D3428" t="s">
        <v>692</v>
      </c>
      <c r="E3428" t="s">
        <v>91</v>
      </c>
      <c r="F3428" t="s">
        <v>4818</v>
      </c>
      <c r="G3428" t="str">
        <f>"00044869"</f>
        <v>00044869</v>
      </c>
      <c r="H3428" t="s">
        <v>1001</v>
      </c>
      <c r="I3428">
        <v>0</v>
      </c>
      <c r="J3428">
        <v>30</v>
      </c>
      <c r="K3428">
        <v>0</v>
      </c>
      <c r="L3428">
        <v>0</v>
      </c>
      <c r="M3428">
        <v>0</v>
      </c>
      <c r="N3428">
        <v>0</v>
      </c>
      <c r="O3428">
        <v>0</v>
      </c>
      <c r="P3428">
        <v>0</v>
      </c>
      <c r="Q3428">
        <v>0</v>
      </c>
      <c r="R3428">
        <v>22</v>
      </c>
      <c r="S3428">
        <v>154</v>
      </c>
      <c r="T3428">
        <v>0</v>
      </c>
      <c r="V3428">
        <v>2</v>
      </c>
      <c r="W3428" t="s">
        <v>4816</v>
      </c>
    </row>
    <row r="3429" spans="1:23" x14ac:dyDescent="0.25">
      <c r="H3429">
        <v>703</v>
      </c>
    </row>
    <row r="3430" spans="1:23" x14ac:dyDescent="0.25">
      <c r="A3430">
        <v>1712</v>
      </c>
      <c r="B3430">
        <v>1677</v>
      </c>
      <c r="C3430" t="s">
        <v>4819</v>
      </c>
      <c r="D3430" t="s">
        <v>219</v>
      </c>
      <c r="E3430" t="s">
        <v>58</v>
      </c>
      <c r="F3430" t="s">
        <v>4820</v>
      </c>
      <c r="G3430" t="str">
        <f>"00223967"</f>
        <v>00223967</v>
      </c>
      <c r="H3430" t="s">
        <v>2811</v>
      </c>
      <c r="I3430">
        <v>0</v>
      </c>
      <c r="J3430">
        <v>70</v>
      </c>
      <c r="K3430">
        <v>30</v>
      </c>
      <c r="L3430">
        <v>30</v>
      </c>
      <c r="M3430">
        <v>0</v>
      </c>
      <c r="N3430">
        <v>0</v>
      </c>
      <c r="O3430">
        <v>0</v>
      </c>
      <c r="P3430">
        <v>0</v>
      </c>
      <c r="Q3430">
        <v>0</v>
      </c>
      <c r="R3430">
        <v>25</v>
      </c>
      <c r="S3430">
        <v>175</v>
      </c>
      <c r="T3430">
        <v>0</v>
      </c>
      <c r="V3430">
        <v>0</v>
      </c>
      <c r="W3430" t="s">
        <v>4816</v>
      </c>
    </row>
    <row r="3431" spans="1:23" x14ac:dyDescent="0.25">
      <c r="H3431" t="s">
        <v>70</v>
      </c>
    </row>
    <row r="3432" spans="1:23" x14ac:dyDescent="0.25">
      <c r="A3432">
        <v>1713</v>
      </c>
      <c r="B3432">
        <v>2872</v>
      </c>
      <c r="C3432" t="s">
        <v>4821</v>
      </c>
      <c r="D3432" t="s">
        <v>32</v>
      </c>
      <c r="E3432" t="s">
        <v>88</v>
      </c>
      <c r="F3432" t="s">
        <v>4822</v>
      </c>
      <c r="G3432" t="str">
        <f>"00224610"</f>
        <v>00224610</v>
      </c>
      <c r="H3432">
        <v>880</v>
      </c>
      <c r="I3432">
        <v>150</v>
      </c>
      <c r="J3432">
        <v>50</v>
      </c>
      <c r="K3432">
        <v>0</v>
      </c>
      <c r="L3432">
        <v>0</v>
      </c>
      <c r="M3432">
        <v>0</v>
      </c>
      <c r="N3432">
        <v>0</v>
      </c>
      <c r="O3432">
        <v>0</v>
      </c>
      <c r="P3432">
        <v>0</v>
      </c>
      <c r="Q3432">
        <v>0</v>
      </c>
      <c r="R3432">
        <v>0</v>
      </c>
      <c r="S3432">
        <v>0</v>
      </c>
      <c r="T3432">
        <v>0</v>
      </c>
      <c r="V3432">
        <v>0</v>
      </c>
      <c r="W3432">
        <v>1080</v>
      </c>
    </row>
    <row r="3433" spans="1:23" x14ac:dyDescent="0.25">
      <c r="H3433">
        <v>703</v>
      </c>
    </row>
    <row r="3434" spans="1:23" x14ac:dyDescent="0.25">
      <c r="A3434">
        <v>1714</v>
      </c>
      <c r="B3434">
        <v>90</v>
      </c>
      <c r="C3434" t="s">
        <v>4408</v>
      </c>
      <c r="D3434" t="s">
        <v>293</v>
      </c>
      <c r="E3434" t="s">
        <v>91</v>
      </c>
      <c r="F3434" t="s">
        <v>4823</v>
      </c>
      <c r="G3434" t="str">
        <f>"200805001057"</f>
        <v>200805001057</v>
      </c>
      <c r="H3434">
        <v>550</v>
      </c>
      <c r="I3434">
        <v>150</v>
      </c>
      <c r="J3434">
        <v>30</v>
      </c>
      <c r="K3434">
        <v>0</v>
      </c>
      <c r="L3434">
        <v>0</v>
      </c>
      <c r="M3434">
        <v>0</v>
      </c>
      <c r="N3434">
        <v>0</v>
      </c>
      <c r="O3434">
        <v>0</v>
      </c>
      <c r="P3434">
        <v>0</v>
      </c>
      <c r="Q3434">
        <v>0</v>
      </c>
      <c r="R3434">
        <v>50</v>
      </c>
      <c r="S3434">
        <v>350</v>
      </c>
      <c r="T3434">
        <v>0</v>
      </c>
      <c r="V3434">
        <v>0</v>
      </c>
      <c r="W3434">
        <v>1080</v>
      </c>
    </row>
    <row r="3435" spans="1:23" x14ac:dyDescent="0.25">
      <c r="H3435">
        <v>703</v>
      </c>
    </row>
    <row r="3436" spans="1:23" x14ac:dyDescent="0.25">
      <c r="A3436">
        <v>1715</v>
      </c>
      <c r="B3436">
        <v>618</v>
      </c>
      <c r="C3436" t="s">
        <v>4824</v>
      </c>
      <c r="D3436" t="s">
        <v>87</v>
      </c>
      <c r="E3436" t="s">
        <v>76</v>
      </c>
      <c r="F3436" t="s">
        <v>4825</v>
      </c>
      <c r="G3436" t="str">
        <f>"00083653"</f>
        <v>00083653</v>
      </c>
      <c r="H3436" t="s">
        <v>1532</v>
      </c>
      <c r="I3436">
        <v>150</v>
      </c>
      <c r="J3436">
        <v>0</v>
      </c>
      <c r="K3436">
        <v>0</v>
      </c>
      <c r="L3436">
        <v>0</v>
      </c>
      <c r="M3436">
        <v>0</v>
      </c>
      <c r="N3436">
        <v>0</v>
      </c>
      <c r="O3436">
        <v>0</v>
      </c>
      <c r="P3436">
        <v>0</v>
      </c>
      <c r="Q3436">
        <v>0</v>
      </c>
      <c r="R3436">
        <v>0</v>
      </c>
      <c r="S3436">
        <v>0</v>
      </c>
      <c r="T3436">
        <v>0</v>
      </c>
      <c r="V3436">
        <v>0</v>
      </c>
      <c r="W3436" t="s">
        <v>4826</v>
      </c>
    </row>
    <row r="3437" spans="1:23" x14ac:dyDescent="0.25">
      <c r="H3437">
        <v>703</v>
      </c>
    </row>
    <row r="3438" spans="1:23" x14ac:dyDescent="0.25">
      <c r="A3438">
        <v>1716</v>
      </c>
      <c r="B3438">
        <v>539</v>
      </c>
      <c r="C3438" t="s">
        <v>4827</v>
      </c>
      <c r="D3438" t="s">
        <v>369</v>
      </c>
      <c r="E3438" t="s">
        <v>113</v>
      </c>
      <c r="F3438" t="s">
        <v>4828</v>
      </c>
      <c r="G3438" t="str">
        <f>"201603000075"</f>
        <v>201603000075</v>
      </c>
      <c r="H3438" t="s">
        <v>4829</v>
      </c>
      <c r="I3438">
        <v>150</v>
      </c>
      <c r="J3438">
        <v>30</v>
      </c>
      <c r="K3438">
        <v>0</v>
      </c>
      <c r="L3438">
        <v>0</v>
      </c>
      <c r="M3438">
        <v>0</v>
      </c>
      <c r="N3438">
        <v>0</v>
      </c>
      <c r="O3438">
        <v>0</v>
      </c>
      <c r="P3438">
        <v>0</v>
      </c>
      <c r="Q3438">
        <v>0</v>
      </c>
      <c r="R3438">
        <v>10</v>
      </c>
      <c r="S3438">
        <v>70</v>
      </c>
      <c r="T3438">
        <v>0</v>
      </c>
      <c r="V3438">
        <v>0</v>
      </c>
      <c r="W3438" t="s">
        <v>4830</v>
      </c>
    </row>
    <row r="3439" spans="1:23" x14ac:dyDescent="0.25">
      <c r="H3439">
        <v>703</v>
      </c>
    </row>
    <row r="3440" spans="1:23" x14ac:dyDescent="0.25">
      <c r="A3440">
        <v>1717</v>
      </c>
      <c r="B3440">
        <v>2642</v>
      </c>
      <c r="C3440" t="s">
        <v>4831</v>
      </c>
      <c r="D3440" t="s">
        <v>67</v>
      </c>
      <c r="E3440" t="s">
        <v>79</v>
      </c>
      <c r="F3440" t="s">
        <v>4832</v>
      </c>
      <c r="G3440" t="str">
        <f>"00145120"</f>
        <v>00145120</v>
      </c>
      <c r="H3440" t="s">
        <v>4833</v>
      </c>
      <c r="I3440">
        <v>0</v>
      </c>
      <c r="J3440">
        <v>70</v>
      </c>
      <c r="K3440">
        <v>0</v>
      </c>
      <c r="L3440">
        <v>0</v>
      </c>
      <c r="M3440">
        <v>0</v>
      </c>
      <c r="N3440">
        <v>0</v>
      </c>
      <c r="O3440">
        <v>0</v>
      </c>
      <c r="P3440">
        <v>0</v>
      </c>
      <c r="Q3440">
        <v>0</v>
      </c>
      <c r="R3440">
        <v>45</v>
      </c>
      <c r="S3440">
        <v>315</v>
      </c>
      <c r="T3440">
        <v>0</v>
      </c>
      <c r="V3440">
        <v>1</v>
      </c>
      <c r="W3440" t="s">
        <v>909</v>
      </c>
    </row>
    <row r="3441" spans="1:23" x14ac:dyDescent="0.25">
      <c r="H3441">
        <v>703</v>
      </c>
    </row>
    <row r="3442" spans="1:23" x14ac:dyDescent="0.25">
      <c r="A3442">
        <v>1718</v>
      </c>
      <c r="B3442">
        <v>2604</v>
      </c>
      <c r="C3442" t="s">
        <v>4834</v>
      </c>
      <c r="D3442" t="s">
        <v>4835</v>
      </c>
      <c r="E3442" t="s">
        <v>4836</v>
      </c>
      <c r="F3442" t="s">
        <v>4837</v>
      </c>
      <c r="G3442" t="str">
        <f>"00005948"</f>
        <v>00005948</v>
      </c>
      <c r="H3442">
        <v>880</v>
      </c>
      <c r="I3442">
        <v>150</v>
      </c>
      <c r="J3442">
        <v>0</v>
      </c>
      <c r="K3442">
        <v>0</v>
      </c>
      <c r="L3442">
        <v>0</v>
      </c>
      <c r="M3442">
        <v>0</v>
      </c>
      <c r="N3442">
        <v>0</v>
      </c>
      <c r="O3442">
        <v>0</v>
      </c>
      <c r="P3442">
        <v>0</v>
      </c>
      <c r="Q3442">
        <v>0</v>
      </c>
      <c r="R3442">
        <v>7</v>
      </c>
      <c r="S3442">
        <v>49</v>
      </c>
      <c r="T3442">
        <v>0</v>
      </c>
      <c r="V3442">
        <v>0</v>
      </c>
      <c r="W3442">
        <v>1079</v>
      </c>
    </row>
    <row r="3443" spans="1:23" x14ac:dyDescent="0.25">
      <c r="H3443">
        <v>703</v>
      </c>
    </row>
    <row r="3444" spans="1:23" x14ac:dyDescent="0.25">
      <c r="A3444">
        <v>1719</v>
      </c>
      <c r="B3444">
        <v>2448</v>
      </c>
      <c r="C3444" t="s">
        <v>4838</v>
      </c>
      <c r="D3444" t="s">
        <v>629</v>
      </c>
      <c r="E3444" t="s">
        <v>607</v>
      </c>
      <c r="F3444" t="s">
        <v>4839</v>
      </c>
      <c r="G3444" t="str">
        <f>"201406001689"</f>
        <v>201406001689</v>
      </c>
      <c r="H3444">
        <v>715</v>
      </c>
      <c r="I3444">
        <v>0</v>
      </c>
      <c r="J3444">
        <v>70</v>
      </c>
      <c r="K3444">
        <v>0</v>
      </c>
      <c r="L3444">
        <v>0</v>
      </c>
      <c r="M3444">
        <v>0</v>
      </c>
      <c r="N3444">
        <v>0</v>
      </c>
      <c r="O3444">
        <v>0</v>
      </c>
      <c r="P3444">
        <v>0</v>
      </c>
      <c r="Q3444">
        <v>0</v>
      </c>
      <c r="R3444">
        <v>42</v>
      </c>
      <c r="S3444">
        <v>294</v>
      </c>
      <c r="T3444">
        <v>0</v>
      </c>
      <c r="V3444">
        <v>0</v>
      </c>
      <c r="W3444">
        <v>1079</v>
      </c>
    </row>
    <row r="3445" spans="1:23" x14ac:dyDescent="0.25">
      <c r="H3445" t="s">
        <v>70</v>
      </c>
    </row>
    <row r="3446" spans="1:23" x14ac:dyDescent="0.25">
      <c r="A3446">
        <v>1720</v>
      </c>
      <c r="B3446">
        <v>2690</v>
      </c>
      <c r="C3446" t="s">
        <v>4840</v>
      </c>
      <c r="D3446" t="s">
        <v>4841</v>
      </c>
      <c r="E3446" t="s">
        <v>207</v>
      </c>
      <c r="F3446" t="s">
        <v>4842</v>
      </c>
      <c r="G3446" t="str">
        <f>"00220525"</f>
        <v>00220525</v>
      </c>
      <c r="H3446" t="s">
        <v>237</v>
      </c>
      <c r="I3446">
        <v>0</v>
      </c>
      <c r="J3446">
        <v>30</v>
      </c>
      <c r="K3446">
        <v>0</v>
      </c>
      <c r="L3446">
        <v>0</v>
      </c>
      <c r="M3446">
        <v>0</v>
      </c>
      <c r="N3446">
        <v>0</v>
      </c>
      <c r="O3446">
        <v>0</v>
      </c>
      <c r="P3446">
        <v>0</v>
      </c>
      <c r="Q3446">
        <v>0</v>
      </c>
      <c r="R3446">
        <v>6</v>
      </c>
      <c r="S3446">
        <v>42</v>
      </c>
      <c r="T3446">
        <v>0</v>
      </c>
      <c r="V3446">
        <v>0</v>
      </c>
      <c r="W3446" t="s">
        <v>4843</v>
      </c>
    </row>
    <row r="3447" spans="1:23" x14ac:dyDescent="0.25">
      <c r="H3447">
        <v>703</v>
      </c>
    </row>
    <row r="3448" spans="1:23" x14ac:dyDescent="0.25">
      <c r="A3448">
        <v>1721</v>
      </c>
      <c r="B3448">
        <v>1448</v>
      </c>
      <c r="C3448" t="s">
        <v>4844</v>
      </c>
      <c r="D3448" t="s">
        <v>4845</v>
      </c>
      <c r="E3448" t="s">
        <v>53</v>
      </c>
      <c r="F3448" t="s">
        <v>4846</v>
      </c>
      <c r="G3448" t="str">
        <f>"00152861"</f>
        <v>00152861</v>
      </c>
      <c r="H3448" t="s">
        <v>2186</v>
      </c>
      <c r="I3448">
        <v>150</v>
      </c>
      <c r="J3448">
        <v>30</v>
      </c>
      <c r="K3448">
        <v>0</v>
      </c>
      <c r="L3448">
        <v>0</v>
      </c>
      <c r="M3448">
        <v>0</v>
      </c>
      <c r="N3448">
        <v>0</v>
      </c>
      <c r="O3448">
        <v>0</v>
      </c>
      <c r="P3448">
        <v>0</v>
      </c>
      <c r="Q3448">
        <v>0</v>
      </c>
      <c r="R3448">
        <v>5</v>
      </c>
      <c r="S3448">
        <v>35</v>
      </c>
      <c r="T3448">
        <v>0</v>
      </c>
      <c r="V3448">
        <v>1</v>
      </c>
      <c r="W3448" t="s">
        <v>4843</v>
      </c>
    </row>
    <row r="3449" spans="1:23" x14ac:dyDescent="0.25">
      <c r="H3449">
        <v>703</v>
      </c>
    </row>
    <row r="3450" spans="1:23" x14ac:dyDescent="0.25">
      <c r="A3450">
        <v>1722</v>
      </c>
      <c r="B3450">
        <v>3198</v>
      </c>
      <c r="C3450" t="s">
        <v>4847</v>
      </c>
      <c r="D3450" t="s">
        <v>1104</v>
      </c>
      <c r="E3450" t="s">
        <v>892</v>
      </c>
      <c r="F3450" t="s">
        <v>4848</v>
      </c>
      <c r="G3450" t="str">
        <f>"201406013190"</f>
        <v>201406013190</v>
      </c>
      <c r="H3450">
        <v>847</v>
      </c>
      <c r="I3450">
        <v>0</v>
      </c>
      <c r="J3450">
        <v>70</v>
      </c>
      <c r="K3450">
        <v>0</v>
      </c>
      <c r="L3450">
        <v>0</v>
      </c>
      <c r="M3450">
        <v>0</v>
      </c>
      <c r="N3450">
        <v>0</v>
      </c>
      <c r="O3450">
        <v>0</v>
      </c>
      <c r="P3450">
        <v>0</v>
      </c>
      <c r="Q3450">
        <v>0</v>
      </c>
      <c r="R3450">
        <v>23</v>
      </c>
      <c r="S3450">
        <v>161</v>
      </c>
      <c r="T3450">
        <v>0</v>
      </c>
      <c r="V3450">
        <v>1</v>
      </c>
      <c r="W3450">
        <v>1078</v>
      </c>
    </row>
    <row r="3451" spans="1:23" x14ac:dyDescent="0.25">
      <c r="H3451">
        <v>703</v>
      </c>
    </row>
    <row r="3452" spans="1:23" x14ac:dyDescent="0.25">
      <c r="A3452">
        <v>1723</v>
      </c>
      <c r="B3452">
        <v>1453</v>
      </c>
      <c r="C3452" t="s">
        <v>4849</v>
      </c>
      <c r="D3452" t="s">
        <v>76</v>
      </c>
      <c r="E3452" t="s">
        <v>4850</v>
      </c>
      <c r="F3452" t="s">
        <v>4851</v>
      </c>
      <c r="G3452" t="str">
        <f>"00015491"</f>
        <v>00015491</v>
      </c>
      <c r="H3452" t="s">
        <v>385</v>
      </c>
      <c r="I3452">
        <v>0</v>
      </c>
      <c r="J3452">
        <v>30</v>
      </c>
      <c r="K3452">
        <v>30</v>
      </c>
      <c r="L3452">
        <v>0</v>
      </c>
      <c r="M3452">
        <v>0</v>
      </c>
      <c r="N3452">
        <v>0</v>
      </c>
      <c r="O3452">
        <v>0</v>
      </c>
      <c r="P3452">
        <v>0</v>
      </c>
      <c r="Q3452">
        <v>0</v>
      </c>
      <c r="R3452">
        <v>0</v>
      </c>
      <c r="S3452">
        <v>0</v>
      </c>
      <c r="T3452">
        <v>0</v>
      </c>
      <c r="V3452">
        <v>0</v>
      </c>
      <c r="W3452" t="s">
        <v>4852</v>
      </c>
    </row>
    <row r="3453" spans="1:23" x14ac:dyDescent="0.25">
      <c r="H3453" t="s">
        <v>26</v>
      </c>
    </row>
    <row r="3454" spans="1:23" x14ac:dyDescent="0.25">
      <c r="A3454">
        <v>1724</v>
      </c>
      <c r="B3454">
        <v>155</v>
      </c>
      <c r="C3454" t="s">
        <v>4853</v>
      </c>
      <c r="D3454" t="s">
        <v>478</v>
      </c>
      <c r="E3454" t="s">
        <v>37</v>
      </c>
      <c r="F3454" t="s">
        <v>4854</v>
      </c>
      <c r="G3454" t="str">
        <f>"201510002969"</f>
        <v>201510002969</v>
      </c>
      <c r="H3454" t="s">
        <v>385</v>
      </c>
      <c r="I3454">
        <v>0</v>
      </c>
      <c r="J3454">
        <v>30</v>
      </c>
      <c r="K3454">
        <v>0</v>
      </c>
      <c r="L3454">
        <v>0</v>
      </c>
      <c r="M3454">
        <v>0</v>
      </c>
      <c r="N3454">
        <v>30</v>
      </c>
      <c r="O3454">
        <v>0</v>
      </c>
      <c r="P3454">
        <v>0</v>
      </c>
      <c r="Q3454">
        <v>0</v>
      </c>
      <c r="R3454">
        <v>0</v>
      </c>
      <c r="S3454">
        <v>0</v>
      </c>
      <c r="T3454">
        <v>0</v>
      </c>
      <c r="V3454">
        <v>0</v>
      </c>
      <c r="W3454" t="s">
        <v>4852</v>
      </c>
    </row>
    <row r="3455" spans="1:23" x14ac:dyDescent="0.25">
      <c r="H3455" t="s">
        <v>70</v>
      </c>
    </row>
    <row r="3456" spans="1:23" x14ac:dyDescent="0.25">
      <c r="A3456">
        <v>1725</v>
      </c>
      <c r="B3456">
        <v>2316</v>
      </c>
      <c r="C3456" t="s">
        <v>338</v>
      </c>
      <c r="D3456" t="s">
        <v>46</v>
      </c>
      <c r="E3456" t="s">
        <v>76</v>
      </c>
      <c r="F3456" t="s">
        <v>4855</v>
      </c>
      <c r="G3456" t="str">
        <f>"00139996"</f>
        <v>00139996</v>
      </c>
      <c r="H3456">
        <v>704</v>
      </c>
      <c r="I3456">
        <v>0</v>
      </c>
      <c r="J3456">
        <v>30</v>
      </c>
      <c r="K3456">
        <v>0</v>
      </c>
      <c r="L3456">
        <v>0</v>
      </c>
      <c r="M3456">
        <v>0</v>
      </c>
      <c r="N3456">
        <v>0</v>
      </c>
      <c r="O3456">
        <v>0</v>
      </c>
      <c r="P3456">
        <v>0</v>
      </c>
      <c r="Q3456">
        <v>0</v>
      </c>
      <c r="R3456">
        <v>49</v>
      </c>
      <c r="S3456">
        <v>343</v>
      </c>
      <c r="T3456">
        <v>0</v>
      </c>
      <c r="V3456">
        <v>0</v>
      </c>
      <c r="W3456">
        <v>1077</v>
      </c>
    </row>
    <row r="3457" spans="1:23" x14ac:dyDescent="0.25">
      <c r="H3457">
        <v>703</v>
      </c>
    </row>
    <row r="3458" spans="1:23" x14ac:dyDescent="0.25">
      <c r="A3458">
        <v>1726</v>
      </c>
      <c r="B3458">
        <v>1787</v>
      </c>
      <c r="C3458" t="s">
        <v>1999</v>
      </c>
      <c r="D3458" t="s">
        <v>772</v>
      </c>
      <c r="E3458" t="s">
        <v>76</v>
      </c>
      <c r="F3458" t="s">
        <v>4856</v>
      </c>
      <c r="G3458" t="str">
        <f>"00009646"</f>
        <v>00009646</v>
      </c>
      <c r="H3458">
        <v>990</v>
      </c>
      <c r="I3458">
        <v>0</v>
      </c>
      <c r="J3458">
        <v>30</v>
      </c>
      <c r="K3458">
        <v>0</v>
      </c>
      <c r="L3458">
        <v>0</v>
      </c>
      <c r="M3458">
        <v>0</v>
      </c>
      <c r="N3458">
        <v>0</v>
      </c>
      <c r="O3458">
        <v>0</v>
      </c>
      <c r="P3458">
        <v>0</v>
      </c>
      <c r="Q3458">
        <v>0</v>
      </c>
      <c r="R3458">
        <v>8</v>
      </c>
      <c r="S3458">
        <v>56</v>
      </c>
      <c r="T3458">
        <v>0</v>
      </c>
      <c r="V3458">
        <v>0</v>
      </c>
      <c r="W3458">
        <v>1076</v>
      </c>
    </row>
    <row r="3459" spans="1:23" x14ac:dyDescent="0.25">
      <c r="H3459" t="s">
        <v>26</v>
      </c>
    </row>
    <row r="3460" spans="1:23" x14ac:dyDescent="0.25">
      <c r="A3460">
        <v>1727</v>
      </c>
      <c r="B3460">
        <v>2870</v>
      </c>
      <c r="C3460" t="s">
        <v>4857</v>
      </c>
      <c r="D3460" t="s">
        <v>40</v>
      </c>
      <c r="E3460" t="s">
        <v>1440</v>
      </c>
      <c r="F3460" t="s">
        <v>4858</v>
      </c>
      <c r="G3460" t="str">
        <f>"00224564"</f>
        <v>00224564</v>
      </c>
      <c r="H3460">
        <v>946</v>
      </c>
      <c r="I3460">
        <v>0</v>
      </c>
      <c r="J3460">
        <v>70</v>
      </c>
      <c r="K3460">
        <v>0</v>
      </c>
      <c r="L3460">
        <v>30</v>
      </c>
      <c r="M3460">
        <v>0</v>
      </c>
      <c r="N3460">
        <v>30</v>
      </c>
      <c r="O3460">
        <v>0</v>
      </c>
      <c r="P3460">
        <v>0</v>
      </c>
      <c r="Q3460">
        <v>0</v>
      </c>
      <c r="R3460">
        <v>0</v>
      </c>
      <c r="S3460">
        <v>0</v>
      </c>
      <c r="T3460">
        <v>0</v>
      </c>
      <c r="V3460">
        <v>0</v>
      </c>
      <c r="W3460">
        <v>1076</v>
      </c>
    </row>
    <row r="3461" spans="1:23" x14ac:dyDescent="0.25">
      <c r="H3461" t="s">
        <v>26</v>
      </c>
    </row>
    <row r="3462" spans="1:23" x14ac:dyDescent="0.25">
      <c r="A3462">
        <v>1728</v>
      </c>
      <c r="B3462">
        <v>2265</v>
      </c>
      <c r="C3462" t="s">
        <v>4859</v>
      </c>
      <c r="D3462" t="s">
        <v>2124</v>
      </c>
      <c r="E3462" t="s">
        <v>58</v>
      </c>
      <c r="F3462" t="s">
        <v>4860</v>
      </c>
      <c r="G3462" t="str">
        <f>"00229187"</f>
        <v>00229187</v>
      </c>
      <c r="H3462">
        <v>1045</v>
      </c>
      <c r="I3462">
        <v>0</v>
      </c>
      <c r="J3462">
        <v>30</v>
      </c>
      <c r="K3462">
        <v>0</v>
      </c>
      <c r="L3462">
        <v>0</v>
      </c>
      <c r="M3462">
        <v>0</v>
      </c>
      <c r="N3462">
        <v>0</v>
      </c>
      <c r="O3462">
        <v>0</v>
      </c>
      <c r="P3462">
        <v>0</v>
      </c>
      <c r="Q3462">
        <v>0</v>
      </c>
      <c r="R3462">
        <v>0</v>
      </c>
      <c r="S3462">
        <v>0</v>
      </c>
      <c r="T3462">
        <v>0</v>
      </c>
      <c r="V3462">
        <v>0</v>
      </c>
      <c r="W3462">
        <v>1075</v>
      </c>
    </row>
    <row r="3463" spans="1:23" x14ac:dyDescent="0.25">
      <c r="H3463" t="s">
        <v>26</v>
      </c>
    </row>
    <row r="3464" spans="1:23" x14ac:dyDescent="0.25">
      <c r="A3464">
        <v>1729</v>
      </c>
      <c r="B3464">
        <v>1999</v>
      </c>
      <c r="C3464" t="s">
        <v>4673</v>
      </c>
      <c r="D3464" t="s">
        <v>36</v>
      </c>
      <c r="E3464" t="s">
        <v>62</v>
      </c>
      <c r="F3464" t="s">
        <v>4861</v>
      </c>
      <c r="G3464" t="str">
        <f>"201406004292"</f>
        <v>201406004292</v>
      </c>
      <c r="H3464">
        <v>1045</v>
      </c>
      <c r="I3464">
        <v>0</v>
      </c>
      <c r="J3464">
        <v>30</v>
      </c>
      <c r="K3464">
        <v>0</v>
      </c>
      <c r="L3464">
        <v>0</v>
      </c>
      <c r="M3464">
        <v>0</v>
      </c>
      <c r="N3464">
        <v>0</v>
      </c>
      <c r="O3464">
        <v>0</v>
      </c>
      <c r="P3464">
        <v>0</v>
      </c>
      <c r="Q3464">
        <v>0</v>
      </c>
      <c r="R3464">
        <v>0</v>
      </c>
      <c r="S3464">
        <v>0</v>
      </c>
      <c r="T3464">
        <v>0</v>
      </c>
      <c r="V3464">
        <v>0</v>
      </c>
      <c r="W3464">
        <v>1075</v>
      </c>
    </row>
    <row r="3465" spans="1:23" x14ac:dyDescent="0.25">
      <c r="H3465" t="s">
        <v>70</v>
      </c>
    </row>
    <row r="3466" spans="1:23" x14ac:dyDescent="0.25">
      <c r="A3466">
        <v>1730</v>
      </c>
      <c r="B3466">
        <v>1602</v>
      </c>
      <c r="C3466" t="s">
        <v>4862</v>
      </c>
      <c r="D3466" t="s">
        <v>4863</v>
      </c>
      <c r="E3466" t="s">
        <v>105</v>
      </c>
      <c r="F3466" t="s">
        <v>4864</v>
      </c>
      <c r="G3466" t="str">
        <f>"201402002461"</f>
        <v>201402002461</v>
      </c>
      <c r="H3466">
        <v>935</v>
      </c>
      <c r="I3466">
        <v>0</v>
      </c>
      <c r="J3466">
        <v>70</v>
      </c>
      <c r="K3466">
        <v>0</v>
      </c>
      <c r="L3466">
        <v>0</v>
      </c>
      <c r="M3466">
        <v>0</v>
      </c>
      <c r="N3466">
        <v>0</v>
      </c>
      <c r="O3466">
        <v>0</v>
      </c>
      <c r="P3466">
        <v>0</v>
      </c>
      <c r="Q3466">
        <v>0</v>
      </c>
      <c r="R3466">
        <v>10</v>
      </c>
      <c r="S3466">
        <v>70</v>
      </c>
      <c r="T3466">
        <v>0</v>
      </c>
      <c r="V3466">
        <v>0</v>
      </c>
      <c r="W3466">
        <v>1075</v>
      </c>
    </row>
    <row r="3467" spans="1:23" x14ac:dyDescent="0.25">
      <c r="H3467">
        <v>703</v>
      </c>
    </row>
    <row r="3468" spans="1:23" x14ac:dyDescent="0.25">
      <c r="A3468">
        <v>1731</v>
      </c>
      <c r="B3468">
        <v>2306</v>
      </c>
      <c r="C3468" t="s">
        <v>4865</v>
      </c>
      <c r="D3468" t="s">
        <v>21</v>
      </c>
      <c r="E3468" t="s">
        <v>76</v>
      </c>
      <c r="F3468" t="s">
        <v>4866</v>
      </c>
      <c r="G3468" t="str">
        <f>"200807000691"</f>
        <v>200807000691</v>
      </c>
      <c r="H3468">
        <v>715</v>
      </c>
      <c r="I3468">
        <v>150</v>
      </c>
      <c r="J3468">
        <v>0</v>
      </c>
      <c r="K3468">
        <v>0</v>
      </c>
      <c r="L3468">
        <v>0</v>
      </c>
      <c r="M3468">
        <v>0</v>
      </c>
      <c r="N3468">
        <v>0</v>
      </c>
      <c r="O3468">
        <v>0</v>
      </c>
      <c r="P3468">
        <v>0</v>
      </c>
      <c r="Q3468">
        <v>0</v>
      </c>
      <c r="R3468">
        <v>30</v>
      </c>
      <c r="S3468">
        <v>210</v>
      </c>
      <c r="T3468">
        <v>0</v>
      </c>
      <c r="V3468">
        <v>0</v>
      </c>
      <c r="W3468">
        <v>1075</v>
      </c>
    </row>
    <row r="3469" spans="1:23" x14ac:dyDescent="0.25">
      <c r="H3469">
        <v>703</v>
      </c>
    </row>
    <row r="3470" spans="1:23" x14ac:dyDescent="0.25">
      <c r="A3470">
        <v>1732</v>
      </c>
      <c r="B3470">
        <v>1180</v>
      </c>
      <c r="C3470" t="s">
        <v>802</v>
      </c>
      <c r="D3470" t="s">
        <v>14</v>
      </c>
      <c r="E3470" t="s">
        <v>227</v>
      </c>
      <c r="F3470" t="s">
        <v>4867</v>
      </c>
      <c r="G3470" t="str">
        <f>"201406012769"</f>
        <v>201406012769</v>
      </c>
      <c r="H3470">
        <v>924</v>
      </c>
      <c r="I3470">
        <v>150</v>
      </c>
      <c r="J3470">
        <v>0</v>
      </c>
      <c r="K3470">
        <v>0</v>
      </c>
      <c r="L3470">
        <v>0</v>
      </c>
      <c r="M3470">
        <v>0</v>
      </c>
      <c r="N3470">
        <v>0</v>
      </c>
      <c r="O3470">
        <v>0</v>
      </c>
      <c r="P3470">
        <v>0</v>
      </c>
      <c r="Q3470">
        <v>0</v>
      </c>
      <c r="R3470">
        <v>0</v>
      </c>
      <c r="S3470">
        <v>0</v>
      </c>
      <c r="T3470">
        <v>0</v>
      </c>
      <c r="V3470">
        <v>0</v>
      </c>
      <c r="W3470">
        <v>1074</v>
      </c>
    </row>
    <row r="3471" spans="1:23" x14ac:dyDescent="0.25">
      <c r="H3471">
        <v>703</v>
      </c>
    </row>
    <row r="3472" spans="1:23" x14ac:dyDescent="0.25">
      <c r="A3472">
        <v>1733</v>
      </c>
      <c r="B3472">
        <v>2559</v>
      </c>
      <c r="C3472" t="s">
        <v>4868</v>
      </c>
      <c r="D3472" t="s">
        <v>46</v>
      </c>
      <c r="E3472" t="s">
        <v>4869</v>
      </c>
      <c r="F3472" t="s">
        <v>4870</v>
      </c>
      <c r="G3472" t="str">
        <f>"00154899"</f>
        <v>00154899</v>
      </c>
      <c r="H3472">
        <v>660</v>
      </c>
      <c r="I3472">
        <v>0</v>
      </c>
      <c r="J3472">
        <v>50</v>
      </c>
      <c r="K3472">
        <v>0</v>
      </c>
      <c r="L3472">
        <v>0</v>
      </c>
      <c r="M3472">
        <v>0</v>
      </c>
      <c r="N3472">
        <v>0</v>
      </c>
      <c r="O3472">
        <v>0</v>
      </c>
      <c r="P3472">
        <v>0</v>
      </c>
      <c r="Q3472">
        <v>0</v>
      </c>
      <c r="R3472">
        <v>52</v>
      </c>
      <c r="S3472">
        <v>364</v>
      </c>
      <c r="T3472">
        <v>0</v>
      </c>
      <c r="V3472">
        <v>0</v>
      </c>
      <c r="W3472">
        <v>1074</v>
      </c>
    </row>
    <row r="3473" spans="1:23" x14ac:dyDescent="0.25">
      <c r="H3473">
        <v>703</v>
      </c>
    </row>
    <row r="3474" spans="1:23" x14ac:dyDescent="0.25">
      <c r="A3474">
        <v>1734</v>
      </c>
      <c r="B3474">
        <v>910</v>
      </c>
      <c r="C3474" t="s">
        <v>4871</v>
      </c>
      <c r="D3474" t="s">
        <v>2336</v>
      </c>
      <c r="E3474" t="s">
        <v>41</v>
      </c>
      <c r="F3474" t="s">
        <v>4872</v>
      </c>
      <c r="G3474" t="str">
        <f>"200801008658"</f>
        <v>200801008658</v>
      </c>
      <c r="H3474" t="s">
        <v>458</v>
      </c>
      <c r="I3474">
        <v>0</v>
      </c>
      <c r="J3474">
        <v>30</v>
      </c>
      <c r="K3474">
        <v>0</v>
      </c>
      <c r="L3474">
        <v>0</v>
      </c>
      <c r="M3474">
        <v>0</v>
      </c>
      <c r="N3474">
        <v>0</v>
      </c>
      <c r="O3474">
        <v>0</v>
      </c>
      <c r="P3474">
        <v>0</v>
      </c>
      <c r="Q3474">
        <v>0</v>
      </c>
      <c r="R3474">
        <v>10</v>
      </c>
      <c r="S3474">
        <v>70</v>
      </c>
      <c r="T3474">
        <v>0</v>
      </c>
      <c r="V3474">
        <v>0</v>
      </c>
      <c r="W3474" t="s">
        <v>4873</v>
      </c>
    </row>
    <row r="3475" spans="1:23" x14ac:dyDescent="0.25">
      <c r="H3475">
        <v>703</v>
      </c>
    </row>
    <row r="3476" spans="1:23" x14ac:dyDescent="0.25">
      <c r="A3476">
        <v>1735</v>
      </c>
      <c r="B3476">
        <v>200</v>
      </c>
      <c r="C3476" t="s">
        <v>4874</v>
      </c>
      <c r="D3476" t="s">
        <v>32</v>
      </c>
      <c r="E3476" t="s">
        <v>99</v>
      </c>
      <c r="F3476" t="s">
        <v>4875</v>
      </c>
      <c r="G3476" t="str">
        <f>"00149681"</f>
        <v>00149681</v>
      </c>
      <c r="H3476" t="s">
        <v>4876</v>
      </c>
      <c r="I3476">
        <v>0</v>
      </c>
      <c r="J3476">
        <v>0</v>
      </c>
      <c r="K3476">
        <v>0</v>
      </c>
      <c r="L3476">
        <v>0</v>
      </c>
      <c r="M3476">
        <v>0</v>
      </c>
      <c r="N3476">
        <v>0</v>
      </c>
      <c r="O3476">
        <v>0</v>
      </c>
      <c r="P3476">
        <v>0</v>
      </c>
      <c r="Q3476">
        <v>0</v>
      </c>
      <c r="R3476">
        <v>35</v>
      </c>
      <c r="S3476">
        <v>245</v>
      </c>
      <c r="T3476">
        <v>0</v>
      </c>
      <c r="V3476">
        <v>0</v>
      </c>
      <c r="W3476" t="s">
        <v>4877</v>
      </c>
    </row>
    <row r="3477" spans="1:23" x14ac:dyDescent="0.25">
      <c r="H3477">
        <v>703</v>
      </c>
    </row>
    <row r="3478" spans="1:23" x14ac:dyDescent="0.25">
      <c r="A3478">
        <v>1736</v>
      </c>
      <c r="B3478">
        <v>379</v>
      </c>
      <c r="C3478" t="s">
        <v>4878</v>
      </c>
      <c r="D3478" t="s">
        <v>20</v>
      </c>
      <c r="E3478" t="s">
        <v>53</v>
      </c>
      <c r="F3478" t="s">
        <v>4879</v>
      </c>
      <c r="G3478" t="str">
        <f>"00225231"</f>
        <v>00225231</v>
      </c>
      <c r="H3478">
        <v>1023</v>
      </c>
      <c r="I3478">
        <v>0</v>
      </c>
      <c r="J3478">
        <v>50</v>
      </c>
      <c r="K3478">
        <v>0</v>
      </c>
      <c r="L3478">
        <v>0</v>
      </c>
      <c r="M3478">
        <v>0</v>
      </c>
      <c r="N3478">
        <v>0</v>
      </c>
      <c r="O3478">
        <v>0</v>
      </c>
      <c r="P3478">
        <v>0</v>
      </c>
      <c r="Q3478">
        <v>0</v>
      </c>
      <c r="R3478">
        <v>0</v>
      </c>
      <c r="S3478">
        <v>0</v>
      </c>
      <c r="T3478">
        <v>0</v>
      </c>
      <c r="V3478">
        <v>0</v>
      </c>
      <c r="W3478">
        <v>1073</v>
      </c>
    </row>
    <row r="3479" spans="1:23" x14ac:dyDescent="0.25">
      <c r="H3479" t="s">
        <v>70</v>
      </c>
    </row>
    <row r="3480" spans="1:23" x14ac:dyDescent="0.25">
      <c r="A3480">
        <v>1737</v>
      </c>
      <c r="B3480">
        <v>2916</v>
      </c>
      <c r="C3480" t="s">
        <v>4470</v>
      </c>
      <c r="D3480" t="s">
        <v>424</v>
      </c>
      <c r="E3480" t="s">
        <v>91</v>
      </c>
      <c r="F3480" t="s">
        <v>4880</v>
      </c>
      <c r="G3480" t="str">
        <f>"00165934"</f>
        <v>00165934</v>
      </c>
      <c r="H3480">
        <v>1023</v>
      </c>
      <c r="I3480">
        <v>0</v>
      </c>
      <c r="J3480">
        <v>50</v>
      </c>
      <c r="K3480">
        <v>0</v>
      </c>
      <c r="L3480">
        <v>0</v>
      </c>
      <c r="M3480">
        <v>0</v>
      </c>
      <c r="N3480">
        <v>0</v>
      </c>
      <c r="O3480">
        <v>0</v>
      </c>
      <c r="P3480">
        <v>0</v>
      </c>
      <c r="Q3480">
        <v>0</v>
      </c>
      <c r="R3480">
        <v>0</v>
      </c>
      <c r="S3480">
        <v>0</v>
      </c>
      <c r="T3480">
        <v>0</v>
      </c>
      <c r="V3480">
        <v>0</v>
      </c>
      <c r="W3480">
        <v>1073</v>
      </c>
    </row>
    <row r="3481" spans="1:23" x14ac:dyDescent="0.25">
      <c r="H3481">
        <v>703</v>
      </c>
    </row>
    <row r="3482" spans="1:23" x14ac:dyDescent="0.25">
      <c r="A3482">
        <v>1738</v>
      </c>
      <c r="B3482">
        <v>2013</v>
      </c>
      <c r="C3482" t="s">
        <v>4668</v>
      </c>
      <c r="D3482" t="s">
        <v>344</v>
      </c>
      <c r="E3482" t="s">
        <v>135</v>
      </c>
      <c r="F3482" t="s">
        <v>4881</v>
      </c>
      <c r="G3482" t="str">
        <f>"201406004077"</f>
        <v>201406004077</v>
      </c>
      <c r="H3482">
        <v>847</v>
      </c>
      <c r="I3482">
        <v>0</v>
      </c>
      <c r="J3482">
        <v>30</v>
      </c>
      <c r="K3482">
        <v>0</v>
      </c>
      <c r="L3482">
        <v>0</v>
      </c>
      <c r="M3482">
        <v>0</v>
      </c>
      <c r="N3482">
        <v>0</v>
      </c>
      <c r="O3482">
        <v>0</v>
      </c>
      <c r="P3482">
        <v>0</v>
      </c>
      <c r="Q3482">
        <v>0</v>
      </c>
      <c r="R3482">
        <v>28</v>
      </c>
      <c r="S3482">
        <v>196</v>
      </c>
      <c r="T3482">
        <v>0</v>
      </c>
      <c r="V3482">
        <v>0</v>
      </c>
      <c r="W3482">
        <v>1073</v>
      </c>
    </row>
    <row r="3483" spans="1:23" x14ac:dyDescent="0.25">
      <c r="H3483" t="s">
        <v>26</v>
      </c>
    </row>
    <row r="3484" spans="1:23" x14ac:dyDescent="0.25">
      <c r="A3484">
        <v>1739</v>
      </c>
      <c r="B3484">
        <v>1778</v>
      </c>
      <c r="C3484" t="s">
        <v>4882</v>
      </c>
      <c r="D3484" t="s">
        <v>67</v>
      </c>
      <c r="E3484" t="s">
        <v>53</v>
      </c>
      <c r="F3484" t="s">
        <v>4883</v>
      </c>
      <c r="G3484" t="str">
        <f>"201510004659"</f>
        <v>201510004659</v>
      </c>
      <c r="H3484">
        <v>1001</v>
      </c>
      <c r="I3484">
        <v>0</v>
      </c>
      <c r="J3484">
        <v>70</v>
      </c>
      <c r="K3484">
        <v>0</v>
      </c>
      <c r="L3484">
        <v>0</v>
      </c>
      <c r="M3484">
        <v>0</v>
      </c>
      <c r="N3484">
        <v>0</v>
      </c>
      <c r="O3484">
        <v>0</v>
      </c>
      <c r="P3484">
        <v>0</v>
      </c>
      <c r="Q3484">
        <v>0</v>
      </c>
      <c r="R3484">
        <v>0</v>
      </c>
      <c r="S3484">
        <v>0</v>
      </c>
      <c r="T3484">
        <v>0</v>
      </c>
      <c r="V3484">
        <v>0</v>
      </c>
      <c r="W3484">
        <v>1071</v>
      </c>
    </row>
    <row r="3485" spans="1:23" x14ac:dyDescent="0.25">
      <c r="H3485">
        <v>703</v>
      </c>
    </row>
    <row r="3486" spans="1:23" x14ac:dyDescent="0.25">
      <c r="A3486">
        <v>1740</v>
      </c>
      <c r="B3486">
        <v>2972</v>
      </c>
      <c r="C3486" t="s">
        <v>4884</v>
      </c>
      <c r="D3486" t="s">
        <v>527</v>
      </c>
      <c r="E3486" t="s">
        <v>53</v>
      </c>
      <c r="F3486" t="s">
        <v>4885</v>
      </c>
      <c r="G3486" t="str">
        <f>"201511043177"</f>
        <v>201511043177</v>
      </c>
      <c r="H3486">
        <v>847</v>
      </c>
      <c r="I3486">
        <v>0</v>
      </c>
      <c r="J3486">
        <v>70</v>
      </c>
      <c r="K3486">
        <v>0</v>
      </c>
      <c r="L3486">
        <v>0</v>
      </c>
      <c r="M3486">
        <v>0</v>
      </c>
      <c r="N3486">
        <v>0</v>
      </c>
      <c r="O3486">
        <v>0</v>
      </c>
      <c r="P3486">
        <v>0</v>
      </c>
      <c r="Q3486">
        <v>0</v>
      </c>
      <c r="R3486">
        <v>22</v>
      </c>
      <c r="S3486">
        <v>154</v>
      </c>
      <c r="T3486">
        <v>0</v>
      </c>
      <c r="V3486">
        <v>0</v>
      </c>
      <c r="W3486">
        <v>1071</v>
      </c>
    </row>
    <row r="3487" spans="1:23" x14ac:dyDescent="0.25">
      <c r="H3487">
        <v>703</v>
      </c>
    </row>
    <row r="3488" spans="1:23" x14ac:dyDescent="0.25">
      <c r="A3488">
        <v>1741</v>
      </c>
      <c r="B3488">
        <v>3186</v>
      </c>
      <c r="C3488" t="s">
        <v>4886</v>
      </c>
      <c r="D3488" t="s">
        <v>254</v>
      </c>
      <c r="E3488" t="s">
        <v>76</v>
      </c>
      <c r="F3488" t="s">
        <v>4887</v>
      </c>
      <c r="G3488" t="str">
        <f>"00127488"</f>
        <v>00127488</v>
      </c>
      <c r="H3488" t="s">
        <v>217</v>
      </c>
      <c r="I3488">
        <v>0</v>
      </c>
      <c r="J3488">
        <v>0</v>
      </c>
      <c r="K3488">
        <v>0</v>
      </c>
      <c r="L3488">
        <v>0</v>
      </c>
      <c r="M3488">
        <v>0</v>
      </c>
      <c r="N3488">
        <v>0</v>
      </c>
      <c r="O3488">
        <v>0</v>
      </c>
      <c r="P3488">
        <v>0</v>
      </c>
      <c r="Q3488">
        <v>0</v>
      </c>
      <c r="R3488">
        <v>17</v>
      </c>
      <c r="S3488">
        <v>119</v>
      </c>
      <c r="T3488">
        <v>0</v>
      </c>
      <c r="V3488">
        <v>0</v>
      </c>
      <c r="W3488" t="s">
        <v>4888</v>
      </c>
    </row>
    <row r="3489" spans="1:23" x14ac:dyDescent="0.25">
      <c r="H3489">
        <v>703</v>
      </c>
    </row>
    <row r="3490" spans="1:23" x14ac:dyDescent="0.25">
      <c r="A3490">
        <v>1742</v>
      </c>
      <c r="B3490">
        <v>1403</v>
      </c>
      <c r="C3490" t="s">
        <v>4889</v>
      </c>
      <c r="D3490" t="s">
        <v>140</v>
      </c>
      <c r="E3490" t="s">
        <v>99</v>
      </c>
      <c r="F3490" t="s">
        <v>4890</v>
      </c>
      <c r="G3490" t="str">
        <f>"00207270"</f>
        <v>00207270</v>
      </c>
      <c r="H3490" t="s">
        <v>3650</v>
      </c>
      <c r="I3490">
        <v>0</v>
      </c>
      <c r="J3490">
        <v>0</v>
      </c>
      <c r="K3490">
        <v>0</v>
      </c>
      <c r="L3490">
        <v>0</v>
      </c>
      <c r="M3490">
        <v>0</v>
      </c>
      <c r="N3490">
        <v>0</v>
      </c>
      <c r="O3490">
        <v>0</v>
      </c>
      <c r="P3490">
        <v>0</v>
      </c>
      <c r="Q3490">
        <v>0</v>
      </c>
      <c r="R3490">
        <v>0</v>
      </c>
      <c r="S3490">
        <v>0</v>
      </c>
      <c r="T3490">
        <v>0</v>
      </c>
      <c r="V3490">
        <v>1</v>
      </c>
      <c r="W3490" t="s">
        <v>3650</v>
      </c>
    </row>
    <row r="3491" spans="1:23" x14ac:dyDescent="0.25">
      <c r="H3491">
        <v>703</v>
      </c>
    </row>
    <row r="3492" spans="1:23" x14ac:dyDescent="0.25">
      <c r="A3492">
        <v>1743</v>
      </c>
      <c r="B3492">
        <v>3111</v>
      </c>
      <c r="C3492" t="s">
        <v>4891</v>
      </c>
      <c r="D3492" t="s">
        <v>4892</v>
      </c>
      <c r="E3492" t="s">
        <v>523</v>
      </c>
      <c r="F3492" t="s">
        <v>4893</v>
      </c>
      <c r="G3492" t="str">
        <f>"00226038"</f>
        <v>00226038</v>
      </c>
      <c r="H3492">
        <v>990</v>
      </c>
      <c r="I3492">
        <v>0</v>
      </c>
      <c r="J3492">
        <v>30</v>
      </c>
      <c r="K3492">
        <v>0</v>
      </c>
      <c r="L3492">
        <v>0</v>
      </c>
      <c r="M3492">
        <v>0</v>
      </c>
      <c r="N3492">
        <v>50</v>
      </c>
      <c r="O3492">
        <v>0</v>
      </c>
      <c r="P3492">
        <v>0</v>
      </c>
      <c r="Q3492">
        <v>0</v>
      </c>
      <c r="R3492">
        <v>0</v>
      </c>
      <c r="S3492">
        <v>0</v>
      </c>
      <c r="T3492">
        <v>0</v>
      </c>
      <c r="V3492">
        <v>0</v>
      </c>
      <c r="W3492">
        <v>1070</v>
      </c>
    </row>
    <row r="3493" spans="1:23" x14ac:dyDescent="0.25">
      <c r="H3493" t="s">
        <v>70</v>
      </c>
    </row>
    <row r="3494" spans="1:23" x14ac:dyDescent="0.25">
      <c r="A3494">
        <v>1744</v>
      </c>
      <c r="B3494">
        <v>1858</v>
      </c>
      <c r="C3494" t="s">
        <v>4894</v>
      </c>
      <c r="D3494" t="s">
        <v>40</v>
      </c>
      <c r="E3494" t="s">
        <v>76</v>
      </c>
      <c r="F3494" t="s">
        <v>4895</v>
      </c>
      <c r="G3494" t="str">
        <f>"00143791"</f>
        <v>00143791</v>
      </c>
      <c r="H3494" t="s">
        <v>480</v>
      </c>
      <c r="I3494">
        <v>0</v>
      </c>
      <c r="J3494">
        <v>70</v>
      </c>
      <c r="K3494">
        <v>0</v>
      </c>
      <c r="L3494">
        <v>0</v>
      </c>
      <c r="M3494">
        <v>0</v>
      </c>
      <c r="N3494">
        <v>0</v>
      </c>
      <c r="O3494">
        <v>0</v>
      </c>
      <c r="P3494">
        <v>0</v>
      </c>
      <c r="Q3494">
        <v>0</v>
      </c>
      <c r="R3494">
        <v>0</v>
      </c>
      <c r="S3494">
        <v>0</v>
      </c>
      <c r="T3494">
        <v>0</v>
      </c>
      <c r="V3494">
        <v>0</v>
      </c>
      <c r="W3494" t="s">
        <v>4896</v>
      </c>
    </row>
    <row r="3495" spans="1:23" x14ac:dyDescent="0.25">
      <c r="H3495" t="s">
        <v>26</v>
      </c>
    </row>
    <row r="3496" spans="1:23" x14ac:dyDescent="0.25">
      <c r="A3496">
        <v>1745</v>
      </c>
      <c r="B3496">
        <v>2200</v>
      </c>
      <c r="C3496" t="s">
        <v>4086</v>
      </c>
      <c r="D3496" t="s">
        <v>46</v>
      </c>
      <c r="E3496" t="s">
        <v>105</v>
      </c>
      <c r="F3496" t="s">
        <v>4897</v>
      </c>
      <c r="G3496" t="str">
        <f>"201604005256"</f>
        <v>201604005256</v>
      </c>
      <c r="H3496" t="s">
        <v>1218</v>
      </c>
      <c r="I3496">
        <v>0</v>
      </c>
      <c r="J3496">
        <v>0</v>
      </c>
      <c r="K3496">
        <v>0</v>
      </c>
      <c r="L3496">
        <v>0</v>
      </c>
      <c r="M3496">
        <v>0</v>
      </c>
      <c r="N3496">
        <v>0</v>
      </c>
      <c r="O3496">
        <v>0</v>
      </c>
      <c r="P3496">
        <v>0</v>
      </c>
      <c r="Q3496">
        <v>0</v>
      </c>
      <c r="R3496">
        <v>0</v>
      </c>
      <c r="S3496">
        <v>0</v>
      </c>
      <c r="T3496">
        <v>0</v>
      </c>
      <c r="V3496">
        <v>0</v>
      </c>
      <c r="W3496" t="s">
        <v>1218</v>
      </c>
    </row>
    <row r="3497" spans="1:23" x14ac:dyDescent="0.25">
      <c r="H3497" t="s">
        <v>70</v>
      </c>
    </row>
    <row r="3498" spans="1:23" x14ac:dyDescent="0.25">
      <c r="A3498">
        <v>1746</v>
      </c>
      <c r="B3498">
        <v>2271</v>
      </c>
      <c r="C3498" t="s">
        <v>4898</v>
      </c>
      <c r="D3498" t="s">
        <v>273</v>
      </c>
      <c r="E3498" t="s">
        <v>251</v>
      </c>
      <c r="F3498" t="s">
        <v>4899</v>
      </c>
      <c r="G3498" t="str">
        <f>"00135567"</f>
        <v>00135567</v>
      </c>
      <c r="H3498">
        <v>1034</v>
      </c>
      <c r="I3498">
        <v>0</v>
      </c>
      <c r="J3498">
        <v>0</v>
      </c>
      <c r="K3498">
        <v>0</v>
      </c>
      <c r="L3498">
        <v>0</v>
      </c>
      <c r="M3498">
        <v>0</v>
      </c>
      <c r="N3498">
        <v>0</v>
      </c>
      <c r="O3498">
        <v>0</v>
      </c>
      <c r="P3498">
        <v>0</v>
      </c>
      <c r="Q3498">
        <v>0</v>
      </c>
      <c r="R3498">
        <v>5</v>
      </c>
      <c r="S3498">
        <v>35</v>
      </c>
      <c r="T3498">
        <v>0</v>
      </c>
      <c r="V3498">
        <v>1</v>
      </c>
      <c r="W3498">
        <v>1069</v>
      </c>
    </row>
    <row r="3499" spans="1:23" x14ac:dyDescent="0.25">
      <c r="H3499">
        <v>703</v>
      </c>
    </row>
    <row r="3500" spans="1:23" x14ac:dyDescent="0.25">
      <c r="A3500">
        <v>1747</v>
      </c>
      <c r="B3500">
        <v>2501</v>
      </c>
      <c r="C3500" t="s">
        <v>4900</v>
      </c>
      <c r="D3500" t="s">
        <v>53</v>
      </c>
      <c r="E3500" t="s">
        <v>15</v>
      </c>
      <c r="F3500" t="s">
        <v>4901</v>
      </c>
      <c r="G3500" t="str">
        <f>"00224116"</f>
        <v>00224116</v>
      </c>
      <c r="H3500" t="s">
        <v>840</v>
      </c>
      <c r="I3500">
        <v>150</v>
      </c>
      <c r="J3500">
        <v>0</v>
      </c>
      <c r="K3500">
        <v>0</v>
      </c>
      <c r="L3500">
        <v>0</v>
      </c>
      <c r="M3500">
        <v>0</v>
      </c>
      <c r="N3500">
        <v>0</v>
      </c>
      <c r="O3500">
        <v>0</v>
      </c>
      <c r="P3500">
        <v>0</v>
      </c>
      <c r="Q3500">
        <v>0</v>
      </c>
      <c r="R3500">
        <v>0</v>
      </c>
      <c r="S3500">
        <v>0</v>
      </c>
      <c r="T3500">
        <v>0</v>
      </c>
      <c r="V3500">
        <v>0</v>
      </c>
      <c r="W3500" t="s">
        <v>4902</v>
      </c>
    </row>
    <row r="3501" spans="1:23" x14ac:dyDescent="0.25">
      <c r="H3501">
        <v>703</v>
      </c>
    </row>
    <row r="3502" spans="1:23" x14ac:dyDescent="0.25">
      <c r="A3502">
        <v>1748</v>
      </c>
      <c r="B3502">
        <v>382</v>
      </c>
      <c r="C3502" t="s">
        <v>907</v>
      </c>
      <c r="D3502" t="s">
        <v>273</v>
      </c>
      <c r="E3502" t="s">
        <v>47</v>
      </c>
      <c r="F3502" t="s">
        <v>4903</v>
      </c>
      <c r="G3502" t="str">
        <f>"00158236"</f>
        <v>00158236</v>
      </c>
      <c r="H3502" t="s">
        <v>4904</v>
      </c>
      <c r="I3502">
        <v>150</v>
      </c>
      <c r="J3502">
        <v>30</v>
      </c>
      <c r="K3502">
        <v>0</v>
      </c>
      <c r="L3502">
        <v>0</v>
      </c>
      <c r="M3502">
        <v>0</v>
      </c>
      <c r="N3502">
        <v>0</v>
      </c>
      <c r="O3502">
        <v>0</v>
      </c>
      <c r="P3502">
        <v>0</v>
      </c>
      <c r="Q3502">
        <v>0</v>
      </c>
      <c r="R3502">
        <v>35</v>
      </c>
      <c r="S3502">
        <v>245</v>
      </c>
      <c r="T3502">
        <v>0</v>
      </c>
      <c r="V3502">
        <v>0</v>
      </c>
      <c r="W3502" t="s">
        <v>4902</v>
      </c>
    </row>
    <row r="3503" spans="1:23" x14ac:dyDescent="0.25">
      <c r="H3503" t="s">
        <v>26</v>
      </c>
    </row>
    <row r="3504" spans="1:23" x14ac:dyDescent="0.25">
      <c r="A3504">
        <v>1749</v>
      </c>
      <c r="B3504">
        <v>579</v>
      </c>
      <c r="C3504" t="s">
        <v>4905</v>
      </c>
      <c r="D3504" t="s">
        <v>185</v>
      </c>
      <c r="E3504" t="s">
        <v>91</v>
      </c>
      <c r="F3504" t="s">
        <v>4906</v>
      </c>
      <c r="G3504" t="str">
        <f>"201412006350"</f>
        <v>201412006350</v>
      </c>
      <c r="H3504" t="s">
        <v>2601</v>
      </c>
      <c r="I3504">
        <v>0</v>
      </c>
      <c r="J3504">
        <v>0</v>
      </c>
      <c r="K3504">
        <v>0</v>
      </c>
      <c r="L3504">
        <v>0</v>
      </c>
      <c r="M3504">
        <v>0</v>
      </c>
      <c r="N3504">
        <v>0</v>
      </c>
      <c r="O3504">
        <v>70</v>
      </c>
      <c r="P3504">
        <v>0</v>
      </c>
      <c r="Q3504">
        <v>0</v>
      </c>
      <c r="R3504">
        <v>29</v>
      </c>
      <c r="S3504">
        <v>203</v>
      </c>
      <c r="T3504">
        <v>0</v>
      </c>
      <c r="V3504">
        <v>0</v>
      </c>
      <c r="W3504" t="s">
        <v>4907</v>
      </c>
    </row>
    <row r="3505" spans="1:23" x14ac:dyDescent="0.25">
      <c r="H3505">
        <v>703</v>
      </c>
    </row>
    <row r="3506" spans="1:23" x14ac:dyDescent="0.25">
      <c r="A3506">
        <v>1750</v>
      </c>
      <c r="B3506">
        <v>2923</v>
      </c>
      <c r="C3506" t="s">
        <v>4908</v>
      </c>
      <c r="D3506" t="s">
        <v>350</v>
      </c>
      <c r="E3506" t="s">
        <v>1633</v>
      </c>
      <c r="F3506" t="s">
        <v>4909</v>
      </c>
      <c r="G3506" t="str">
        <f>"201409001550"</f>
        <v>201409001550</v>
      </c>
      <c r="H3506">
        <v>968</v>
      </c>
      <c r="I3506">
        <v>0</v>
      </c>
      <c r="J3506">
        <v>30</v>
      </c>
      <c r="K3506">
        <v>0</v>
      </c>
      <c r="L3506">
        <v>0</v>
      </c>
      <c r="M3506">
        <v>0</v>
      </c>
      <c r="N3506">
        <v>0</v>
      </c>
      <c r="O3506">
        <v>0</v>
      </c>
      <c r="P3506">
        <v>0</v>
      </c>
      <c r="Q3506">
        <v>0</v>
      </c>
      <c r="R3506">
        <v>10</v>
      </c>
      <c r="S3506">
        <v>70</v>
      </c>
      <c r="T3506">
        <v>0</v>
      </c>
      <c r="V3506">
        <v>0</v>
      </c>
      <c r="W3506">
        <v>1068</v>
      </c>
    </row>
    <row r="3507" spans="1:23" x14ac:dyDescent="0.25">
      <c r="H3507">
        <v>703</v>
      </c>
    </row>
    <row r="3508" spans="1:23" x14ac:dyDescent="0.25">
      <c r="A3508">
        <v>1751</v>
      </c>
      <c r="B3508">
        <v>1605</v>
      </c>
      <c r="C3508" t="s">
        <v>4657</v>
      </c>
      <c r="D3508" t="s">
        <v>1818</v>
      </c>
      <c r="E3508" t="s">
        <v>523</v>
      </c>
      <c r="F3508" t="s">
        <v>4910</v>
      </c>
      <c r="G3508" t="str">
        <f>"200802011839"</f>
        <v>200802011839</v>
      </c>
      <c r="H3508" t="s">
        <v>385</v>
      </c>
      <c r="I3508">
        <v>0</v>
      </c>
      <c r="J3508">
        <v>50</v>
      </c>
      <c r="K3508">
        <v>0</v>
      </c>
      <c r="L3508">
        <v>0</v>
      </c>
      <c r="M3508">
        <v>0</v>
      </c>
      <c r="N3508">
        <v>0</v>
      </c>
      <c r="O3508">
        <v>0</v>
      </c>
      <c r="P3508">
        <v>0</v>
      </c>
      <c r="Q3508">
        <v>0</v>
      </c>
      <c r="R3508">
        <v>0</v>
      </c>
      <c r="S3508">
        <v>0</v>
      </c>
      <c r="T3508">
        <v>0</v>
      </c>
      <c r="V3508">
        <v>0</v>
      </c>
      <c r="W3508" t="s">
        <v>4911</v>
      </c>
    </row>
    <row r="3509" spans="1:23" x14ac:dyDescent="0.25">
      <c r="H3509">
        <v>703</v>
      </c>
    </row>
    <row r="3510" spans="1:23" x14ac:dyDescent="0.25">
      <c r="A3510">
        <v>1752</v>
      </c>
      <c r="B3510">
        <v>2410</v>
      </c>
      <c r="C3510" t="s">
        <v>4912</v>
      </c>
      <c r="D3510" t="s">
        <v>4913</v>
      </c>
      <c r="E3510" t="s">
        <v>105</v>
      </c>
      <c r="F3510" t="s">
        <v>4914</v>
      </c>
      <c r="G3510" t="str">
        <f>"00226086"</f>
        <v>00226086</v>
      </c>
      <c r="H3510" t="s">
        <v>3070</v>
      </c>
      <c r="I3510">
        <v>0</v>
      </c>
      <c r="J3510">
        <v>70</v>
      </c>
      <c r="K3510">
        <v>50</v>
      </c>
      <c r="L3510">
        <v>0</v>
      </c>
      <c r="M3510">
        <v>0</v>
      </c>
      <c r="N3510">
        <v>30</v>
      </c>
      <c r="O3510">
        <v>0</v>
      </c>
      <c r="P3510">
        <v>0</v>
      </c>
      <c r="Q3510">
        <v>0</v>
      </c>
      <c r="R3510">
        <v>0</v>
      </c>
      <c r="S3510">
        <v>0</v>
      </c>
      <c r="T3510">
        <v>0</v>
      </c>
      <c r="V3510">
        <v>0</v>
      </c>
      <c r="W3510" t="s">
        <v>4915</v>
      </c>
    </row>
    <row r="3511" spans="1:23" x14ac:dyDescent="0.25">
      <c r="H3511" t="s">
        <v>70</v>
      </c>
    </row>
    <row r="3512" spans="1:23" x14ac:dyDescent="0.25">
      <c r="A3512">
        <v>1753</v>
      </c>
      <c r="B3512">
        <v>2971</v>
      </c>
      <c r="C3512" t="s">
        <v>4916</v>
      </c>
      <c r="D3512" t="s">
        <v>4917</v>
      </c>
      <c r="E3512" t="s">
        <v>105</v>
      </c>
      <c r="F3512" t="s">
        <v>4918</v>
      </c>
      <c r="G3512" t="str">
        <f>"201411003583"</f>
        <v>201411003583</v>
      </c>
      <c r="H3512" t="s">
        <v>237</v>
      </c>
      <c r="I3512">
        <v>0</v>
      </c>
      <c r="J3512">
        <v>30</v>
      </c>
      <c r="K3512">
        <v>30</v>
      </c>
      <c r="L3512">
        <v>0</v>
      </c>
      <c r="M3512">
        <v>0</v>
      </c>
      <c r="N3512">
        <v>0</v>
      </c>
      <c r="O3512">
        <v>0</v>
      </c>
      <c r="P3512">
        <v>0</v>
      </c>
      <c r="Q3512">
        <v>0</v>
      </c>
      <c r="R3512">
        <v>0</v>
      </c>
      <c r="S3512">
        <v>0</v>
      </c>
      <c r="T3512">
        <v>0</v>
      </c>
      <c r="V3512">
        <v>0</v>
      </c>
      <c r="W3512" t="s">
        <v>4919</v>
      </c>
    </row>
    <row r="3513" spans="1:23" x14ac:dyDescent="0.25">
      <c r="H3513" t="s">
        <v>70</v>
      </c>
    </row>
    <row r="3514" spans="1:23" x14ac:dyDescent="0.25">
      <c r="A3514">
        <v>1754</v>
      </c>
      <c r="B3514">
        <v>2105</v>
      </c>
      <c r="C3514" t="s">
        <v>4920</v>
      </c>
      <c r="D3514" t="s">
        <v>67</v>
      </c>
      <c r="E3514" t="s">
        <v>79</v>
      </c>
      <c r="F3514" t="s">
        <v>4921</v>
      </c>
      <c r="G3514" t="str">
        <f>"201502000007"</f>
        <v>201502000007</v>
      </c>
      <c r="H3514" t="s">
        <v>237</v>
      </c>
      <c r="I3514">
        <v>0</v>
      </c>
      <c r="J3514">
        <v>30</v>
      </c>
      <c r="K3514">
        <v>0</v>
      </c>
      <c r="L3514">
        <v>30</v>
      </c>
      <c r="M3514">
        <v>0</v>
      </c>
      <c r="N3514">
        <v>0</v>
      </c>
      <c r="O3514">
        <v>0</v>
      </c>
      <c r="P3514">
        <v>0</v>
      </c>
      <c r="Q3514">
        <v>0</v>
      </c>
      <c r="R3514">
        <v>0</v>
      </c>
      <c r="S3514">
        <v>0</v>
      </c>
      <c r="T3514">
        <v>0</v>
      </c>
      <c r="V3514">
        <v>2</v>
      </c>
      <c r="W3514" t="s">
        <v>4919</v>
      </c>
    </row>
    <row r="3515" spans="1:23" x14ac:dyDescent="0.25">
      <c r="H3515" t="s">
        <v>70</v>
      </c>
    </row>
    <row r="3516" spans="1:23" x14ac:dyDescent="0.25">
      <c r="A3516">
        <v>1755</v>
      </c>
      <c r="B3516">
        <v>2946</v>
      </c>
      <c r="C3516" t="s">
        <v>4922</v>
      </c>
      <c r="D3516" t="s">
        <v>134</v>
      </c>
      <c r="E3516" t="s">
        <v>433</v>
      </c>
      <c r="F3516" t="s">
        <v>4923</v>
      </c>
      <c r="G3516" t="str">
        <f>"201406003347"</f>
        <v>201406003347</v>
      </c>
      <c r="H3516" t="s">
        <v>1001</v>
      </c>
      <c r="I3516">
        <v>0</v>
      </c>
      <c r="J3516">
        <v>70</v>
      </c>
      <c r="K3516">
        <v>0</v>
      </c>
      <c r="L3516">
        <v>70</v>
      </c>
      <c r="M3516">
        <v>0</v>
      </c>
      <c r="N3516">
        <v>30</v>
      </c>
      <c r="O3516">
        <v>0</v>
      </c>
      <c r="P3516">
        <v>0</v>
      </c>
      <c r="Q3516">
        <v>0</v>
      </c>
      <c r="R3516">
        <v>0</v>
      </c>
      <c r="S3516">
        <v>0</v>
      </c>
      <c r="T3516">
        <v>0</v>
      </c>
      <c r="V3516">
        <v>0</v>
      </c>
      <c r="W3516" t="s">
        <v>4919</v>
      </c>
    </row>
    <row r="3517" spans="1:23" x14ac:dyDescent="0.25">
      <c r="H3517" t="s">
        <v>70</v>
      </c>
    </row>
    <row r="3518" spans="1:23" x14ac:dyDescent="0.25">
      <c r="A3518">
        <v>1756</v>
      </c>
      <c r="B3518">
        <v>2303</v>
      </c>
      <c r="C3518" t="s">
        <v>4924</v>
      </c>
      <c r="D3518" t="s">
        <v>166</v>
      </c>
      <c r="E3518" t="s">
        <v>109</v>
      </c>
      <c r="F3518" t="s">
        <v>4925</v>
      </c>
      <c r="G3518" t="str">
        <f>"200712004673"</f>
        <v>200712004673</v>
      </c>
      <c r="H3518">
        <v>660</v>
      </c>
      <c r="I3518">
        <v>0</v>
      </c>
      <c r="J3518">
        <v>0</v>
      </c>
      <c r="K3518">
        <v>0</v>
      </c>
      <c r="L3518">
        <v>0</v>
      </c>
      <c r="M3518">
        <v>0</v>
      </c>
      <c r="N3518">
        <v>0</v>
      </c>
      <c r="O3518">
        <v>0</v>
      </c>
      <c r="P3518">
        <v>0</v>
      </c>
      <c r="Q3518">
        <v>0</v>
      </c>
      <c r="R3518">
        <v>58</v>
      </c>
      <c r="S3518">
        <v>406</v>
      </c>
      <c r="T3518">
        <v>0</v>
      </c>
      <c r="V3518">
        <v>0</v>
      </c>
      <c r="W3518">
        <v>1066</v>
      </c>
    </row>
    <row r="3519" spans="1:23" x14ac:dyDescent="0.25">
      <c r="H3519">
        <v>703</v>
      </c>
    </row>
    <row r="3520" spans="1:23" x14ac:dyDescent="0.25">
      <c r="A3520">
        <v>1757</v>
      </c>
      <c r="B3520">
        <v>2392</v>
      </c>
      <c r="C3520" t="s">
        <v>4926</v>
      </c>
      <c r="D3520" t="s">
        <v>629</v>
      </c>
      <c r="E3520" t="s">
        <v>53</v>
      </c>
      <c r="F3520" t="s">
        <v>4927</v>
      </c>
      <c r="G3520" t="str">
        <f>"201406004693"</f>
        <v>201406004693</v>
      </c>
      <c r="H3520">
        <v>935</v>
      </c>
      <c r="I3520">
        <v>0</v>
      </c>
      <c r="J3520">
        <v>70</v>
      </c>
      <c r="K3520">
        <v>0</v>
      </c>
      <c r="L3520">
        <v>30</v>
      </c>
      <c r="M3520">
        <v>30</v>
      </c>
      <c r="N3520">
        <v>0</v>
      </c>
      <c r="O3520">
        <v>0</v>
      </c>
      <c r="P3520">
        <v>0</v>
      </c>
      <c r="Q3520">
        <v>0</v>
      </c>
      <c r="R3520">
        <v>0</v>
      </c>
      <c r="S3520">
        <v>0</v>
      </c>
      <c r="T3520">
        <v>0</v>
      </c>
      <c r="V3520">
        <v>0</v>
      </c>
      <c r="W3520">
        <v>1065</v>
      </c>
    </row>
    <row r="3521" spans="1:23" x14ac:dyDescent="0.25">
      <c r="H3521" t="s">
        <v>70</v>
      </c>
    </row>
    <row r="3522" spans="1:23" x14ac:dyDescent="0.25">
      <c r="A3522">
        <v>1758</v>
      </c>
      <c r="B3522">
        <v>2520</v>
      </c>
      <c r="C3522" t="s">
        <v>4928</v>
      </c>
      <c r="D3522" t="s">
        <v>24</v>
      </c>
      <c r="E3522" t="s">
        <v>1818</v>
      </c>
      <c r="F3522" t="s">
        <v>4929</v>
      </c>
      <c r="G3522" t="str">
        <f>"200807000602"</f>
        <v>200807000602</v>
      </c>
      <c r="H3522" t="s">
        <v>446</v>
      </c>
      <c r="I3522">
        <v>0</v>
      </c>
      <c r="J3522">
        <v>50</v>
      </c>
      <c r="K3522">
        <v>0</v>
      </c>
      <c r="L3522">
        <v>50</v>
      </c>
      <c r="M3522">
        <v>0</v>
      </c>
      <c r="N3522">
        <v>0</v>
      </c>
      <c r="O3522">
        <v>0</v>
      </c>
      <c r="P3522">
        <v>0</v>
      </c>
      <c r="Q3522">
        <v>0</v>
      </c>
      <c r="R3522">
        <v>0</v>
      </c>
      <c r="S3522">
        <v>0</v>
      </c>
      <c r="T3522">
        <v>0</v>
      </c>
      <c r="V3522">
        <v>0</v>
      </c>
      <c r="W3522" t="s">
        <v>4930</v>
      </c>
    </row>
    <row r="3523" spans="1:23" x14ac:dyDescent="0.25">
      <c r="H3523" t="s">
        <v>70</v>
      </c>
    </row>
    <row r="3524" spans="1:23" x14ac:dyDescent="0.25">
      <c r="A3524">
        <v>1759</v>
      </c>
      <c r="B3524">
        <v>614</v>
      </c>
      <c r="C3524" t="s">
        <v>4931</v>
      </c>
      <c r="D3524" t="s">
        <v>40</v>
      </c>
      <c r="E3524" t="s">
        <v>105</v>
      </c>
      <c r="F3524" t="s">
        <v>4932</v>
      </c>
      <c r="G3524" t="str">
        <f>"201005000122"</f>
        <v>201005000122</v>
      </c>
      <c r="H3524" t="s">
        <v>583</v>
      </c>
      <c r="I3524">
        <v>0</v>
      </c>
      <c r="J3524">
        <v>70</v>
      </c>
      <c r="K3524">
        <v>0</v>
      </c>
      <c r="L3524">
        <v>0</v>
      </c>
      <c r="M3524">
        <v>0</v>
      </c>
      <c r="N3524">
        <v>0</v>
      </c>
      <c r="O3524">
        <v>0</v>
      </c>
      <c r="P3524">
        <v>0</v>
      </c>
      <c r="Q3524">
        <v>0</v>
      </c>
      <c r="R3524">
        <v>5</v>
      </c>
      <c r="S3524">
        <v>35</v>
      </c>
      <c r="T3524">
        <v>0</v>
      </c>
      <c r="V3524">
        <v>0</v>
      </c>
      <c r="W3524" t="s">
        <v>4933</v>
      </c>
    </row>
    <row r="3525" spans="1:23" x14ac:dyDescent="0.25">
      <c r="H3525" t="s">
        <v>70</v>
      </c>
    </row>
    <row r="3526" spans="1:23" x14ac:dyDescent="0.25">
      <c r="A3526">
        <v>1760</v>
      </c>
      <c r="B3526">
        <v>877</v>
      </c>
      <c r="C3526" t="s">
        <v>4934</v>
      </c>
      <c r="D3526" t="s">
        <v>76</v>
      </c>
      <c r="E3526" t="s">
        <v>62</v>
      </c>
      <c r="F3526" t="s">
        <v>4935</v>
      </c>
      <c r="G3526" t="str">
        <f>"00026438"</f>
        <v>00026438</v>
      </c>
      <c r="H3526">
        <v>1034</v>
      </c>
      <c r="I3526">
        <v>0</v>
      </c>
      <c r="J3526">
        <v>30</v>
      </c>
      <c r="K3526">
        <v>0</v>
      </c>
      <c r="L3526">
        <v>0</v>
      </c>
      <c r="M3526">
        <v>0</v>
      </c>
      <c r="N3526">
        <v>0</v>
      </c>
      <c r="O3526">
        <v>0</v>
      </c>
      <c r="P3526">
        <v>0</v>
      </c>
      <c r="Q3526">
        <v>0</v>
      </c>
      <c r="R3526">
        <v>0</v>
      </c>
      <c r="S3526">
        <v>0</v>
      </c>
      <c r="T3526">
        <v>0</v>
      </c>
      <c r="V3526">
        <v>1</v>
      </c>
      <c r="W3526">
        <v>1064</v>
      </c>
    </row>
    <row r="3527" spans="1:23" x14ac:dyDescent="0.25">
      <c r="H3527">
        <v>703</v>
      </c>
    </row>
    <row r="3528" spans="1:23" x14ac:dyDescent="0.25">
      <c r="A3528">
        <v>1761</v>
      </c>
      <c r="B3528">
        <v>857</v>
      </c>
      <c r="C3528" t="s">
        <v>4936</v>
      </c>
      <c r="D3528" t="s">
        <v>527</v>
      </c>
      <c r="E3528" t="s">
        <v>1440</v>
      </c>
      <c r="F3528" t="s">
        <v>4937</v>
      </c>
      <c r="G3528" t="str">
        <f>"00017532"</f>
        <v>00017532</v>
      </c>
      <c r="H3528" t="s">
        <v>2374</v>
      </c>
      <c r="I3528">
        <v>150</v>
      </c>
      <c r="J3528">
        <v>30</v>
      </c>
      <c r="K3528">
        <v>0</v>
      </c>
      <c r="L3528">
        <v>0</v>
      </c>
      <c r="M3528">
        <v>30</v>
      </c>
      <c r="N3528">
        <v>0</v>
      </c>
      <c r="O3528">
        <v>0</v>
      </c>
      <c r="P3528">
        <v>0</v>
      </c>
      <c r="Q3528">
        <v>0</v>
      </c>
      <c r="R3528">
        <v>8</v>
      </c>
      <c r="S3528">
        <v>56</v>
      </c>
      <c r="T3528">
        <v>0</v>
      </c>
      <c r="V3528">
        <v>0</v>
      </c>
      <c r="W3528" t="s">
        <v>4938</v>
      </c>
    </row>
    <row r="3529" spans="1:23" x14ac:dyDescent="0.25">
      <c r="H3529" t="s">
        <v>70</v>
      </c>
    </row>
    <row r="3530" spans="1:23" x14ac:dyDescent="0.25">
      <c r="A3530">
        <v>1762</v>
      </c>
      <c r="B3530">
        <v>1640</v>
      </c>
      <c r="C3530" t="s">
        <v>738</v>
      </c>
      <c r="D3530" t="s">
        <v>4939</v>
      </c>
      <c r="E3530" t="s">
        <v>53</v>
      </c>
      <c r="F3530" t="s">
        <v>4940</v>
      </c>
      <c r="G3530" t="str">
        <f>"00019504"</f>
        <v>00019504</v>
      </c>
      <c r="H3530">
        <v>880</v>
      </c>
      <c r="I3530">
        <v>0</v>
      </c>
      <c r="J3530">
        <v>50</v>
      </c>
      <c r="K3530">
        <v>0</v>
      </c>
      <c r="L3530">
        <v>0</v>
      </c>
      <c r="M3530">
        <v>0</v>
      </c>
      <c r="N3530">
        <v>0</v>
      </c>
      <c r="O3530">
        <v>0</v>
      </c>
      <c r="P3530">
        <v>0</v>
      </c>
      <c r="Q3530">
        <v>0</v>
      </c>
      <c r="R3530">
        <v>19</v>
      </c>
      <c r="S3530">
        <v>133</v>
      </c>
      <c r="T3530">
        <v>0</v>
      </c>
      <c r="V3530">
        <v>0</v>
      </c>
      <c r="W3530">
        <v>1063</v>
      </c>
    </row>
    <row r="3531" spans="1:23" x14ac:dyDescent="0.25">
      <c r="H3531">
        <v>703</v>
      </c>
    </row>
    <row r="3532" spans="1:23" x14ac:dyDescent="0.25">
      <c r="A3532">
        <v>1763</v>
      </c>
      <c r="B3532">
        <v>1113</v>
      </c>
      <c r="C3532" t="s">
        <v>4154</v>
      </c>
      <c r="D3532" t="s">
        <v>273</v>
      </c>
      <c r="E3532" t="s">
        <v>109</v>
      </c>
      <c r="F3532" t="s">
        <v>4941</v>
      </c>
      <c r="G3532" t="str">
        <f>"201511005838"</f>
        <v>201511005838</v>
      </c>
      <c r="H3532" t="s">
        <v>101</v>
      </c>
      <c r="I3532">
        <v>0</v>
      </c>
      <c r="J3532">
        <v>0</v>
      </c>
      <c r="K3532">
        <v>0</v>
      </c>
      <c r="L3532">
        <v>0</v>
      </c>
      <c r="M3532">
        <v>0</v>
      </c>
      <c r="N3532">
        <v>0</v>
      </c>
      <c r="O3532">
        <v>0</v>
      </c>
      <c r="P3532">
        <v>0</v>
      </c>
      <c r="Q3532">
        <v>0</v>
      </c>
      <c r="R3532">
        <v>0</v>
      </c>
      <c r="S3532">
        <v>0</v>
      </c>
      <c r="T3532">
        <v>0</v>
      </c>
      <c r="V3532">
        <v>2</v>
      </c>
      <c r="W3532" t="s">
        <v>101</v>
      </c>
    </row>
    <row r="3533" spans="1:23" x14ac:dyDescent="0.25">
      <c r="H3533" t="s">
        <v>70</v>
      </c>
    </row>
    <row r="3534" spans="1:23" x14ac:dyDescent="0.25">
      <c r="A3534">
        <v>1764</v>
      </c>
      <c r="B3534">
        <v>2462</v>
      </c>
      <c r="C3534" t="s">
        <v>4942</v>
      </c>
      <c r="D3534" t="s">
        <v>20</v>
      </c>
      <c r="E3534" t="s">
        <v>322</v>
      </c>
      <c r="F3534" t="s">
        <v>4943</v>
      </c>
      <c r="G3534" t="str">
        <f>"00229746"</f>
        <v>00229746</v>
      </c>
      <c r="H3534" t="s">
        <v>1359</v>
      </c>
      <c r="I3534">
        <v>150</v>
      </c>
      <c r="J3534">
        <v>30</v>
      </c>
      <c r="K3534">
        <v>30</v>
      </c>
      <c r="L3534">
        <v>0</v>
      </c>
      <c r="M3534">
        <v>0</v>
      </c>
      <c r="N3534">
        <v>0</v>
      </c>
      <c r="O3534">
        <v>0</v>
      </c>
      <c r="P3534">
        <v>0</v>
      </c>
      <c r="Q3534">
        <v>0</v>
      </c>
      <c r="R3534">
        <v>0</v>
      </c>
      <c r="S3534">
        <v>0</v>
      </c>
      <c r="T3534">
        <v>0</v>
      </c>
      <c r="V3534">
        <v>0</v>
      </c>
      <c r="W3534" t="s">
        <v>4944</v>
      </c>
    </row>
    <row r="3535" spans="1:23" x14ac:dyDescent="0.25">
      <c r="H3535" t="s">
        <v>70</v>
      </c>
    </row>
    <row r="3536" spans="1:23" x14ac:dyDescent="0.25">
      <c r="A3536">
        <v>1765</v>
      </c>
      <c r="B3536">
        <v>232</v>
      </c>
      <c r="C3536" t="s">
        <v>4945</v>
      </c>
      <c r="D3536" t="s">
        <v>767</v>
      </c>
      <c r="E3536" t="s">
        <v>15</v>
      </c>
      <c r="F3536" t="s">
        <v>4946</v>
      </c>
      <c r="G3536" t="str">
        <f>"200802001413"</f>
        <v>200802001413</v>
      </c>
      <c r="H3536" t="s">
        <v>3338</v>
      </c>
      <c r="I3536">
        <v>0</v>
      </c>
      <c r="J3536">
        <v>0</v>
      </c>
      <c r="K3536">
        <v>0</v>
      </c>
      <c r="L3536">
        <v>0</v>
      </c>
      <c r="M3536">
        <v>0</v>
      </c>
      <c r="N3536">
        <v>0</v>
      </c>
      <c r="O3536">
        <v>0</v>
      </c>
      <c r="P3536">
        <v>0</v>
      </c>
      <c r="Q3536">
        <v>0</v>
      </c>
      <c r="R3536">
        <v>55</v>
      </c>
      <c r="S3536">
        <v>385</v>
      </c>
      <c r="T3536">
        <v>0</v>
      </c>
      <c r="V3536">
        <v>1</v>
      </c>
      <c r="W3536" t="s">
        <v>142</v>
      </c>
    </row>
    <row r="3537" spans="1:23" x14ac:dyDescent="0.25">
      <c r="H3537">
        <v>703</v>
      </c>
    </row>
    <row r="3538" spans="1:23" x14ac:dyDescent="0.25">
      <c r="A3538">
        <v>1766</v>
      </c>
      <c r="B3538">
        <v>2905</v>
      </c>
      <c r="C3538" t="s">
        <v>4947</v>
      </c>
      <c r="D3538" t="s">
        <v>99</v>
      </c>
      <c r="E3538" t="s">
        <v>3192</v>
      </c>
      <c r="F3538" t="s">
        <v>4948</v>
      </c>
      <c r="G3538" t="str">
        <f>"00208854"</f>
        <v>00208854</v>
      </c>
      <c r="H3538">
        <v>935</v>
      </c>
      <c r="I3538">
        <v>0</v>
      </c>
      <c r="J3538">
        <v>70</v>
      </c>
      <c r="K3538">
        <v>0</v>
      </c>
      <c r="L3538">
        <v>0</v>
      </c>
      <c r="M3538">
        <v>0</v>
      </c>
      <c r="N3538">
        <v>0</v>
      </c>
      <c r="O3538">
        <v>0</v>
      </c>
      <c r="P3538">
        <v>0</v>
      </c>
      <c r="Q3538">
        <v>0</v>
      </c>
      <c r="R3538">
        <v>8</v>
      </c>
      <c r="S3538">
        <v>56</v>
      </c>
      <c r="T3538">
        <v>0</v>
      </c>
      <c r="V3538">
        <v>0</v>
      </c>
      <c r="W3538">
        <v>1061</v>
      </c>
    </row>
    <row r="3539" spans="1:23" x14ac:dyDescent="0.25">
      <c r="H3539">
        <v>703</v>
      </c>
    </row>
    <row r="3540" spans="1:23" x14ac:dyDescent="0.25">
      <c r="A3540">
        <v>1767</v>
      </c>
      <c r="B3540">
        <v>108</v>
      </c>
      <c r="C3540" t="s">
        <v>4574</v>
      </c>
      <c r="D3540" t="s">
        <v>1401</v>
      </c>
      <c r="E3540" t="s">
        <v>99</v>
      </c>
      <c r="F3540" t="s">
        <v>4949</v>
      </c>
      <c r="G3540" t="str">
        <f>"00147021"</f>
        <v>00147021</v>
      </c>
      <c r="H3540">
        <v>814</v>
      </c>
      <c r="I3540">
        <v>0</v>
      </c>
      <c r="J3540">
        <v>30</v>
      </c>
      <c r="K3540">
        <v>0</v>
      </c>
      <c r="L3540">
        <v>0</v>
      </c>
      <c r="M3540">
        <v>0</v>
      </c>
      <c r="N3540">
        <v>0</v>
      </c>
      <c r="O3540">
        <v>0</v>
      </c>
      <c r="P3540">
        <v>0</v>
      </c>
      <c r="Q3540">
        <v>0</v>
      </c>
      <c r="R3540">
        <v>31</v>
      </c>
      <c r="S3540">
        <v>217</v>
      </c>
      <c r="T3540">
        <v>0</v>
      </c>
      <c r="V3540">
        <v>0</v>
      </c>
      <c r="W3540">
        <v>1061</v>
      </c>
    </row>
    <row r="3541" spans="1:23" x14ac:dyDescent="0.25">
      <c r="H3541">
        <v>703</v>
      </c>
    </row>
    <row r="3542" spans="1:23" x14ac:dyDescent="0.25">
      <c r="A3542">
        <v>1768</v>
      </c>
      <c r="B3542">
        <v>1195</v>
      </c>
      <c r="C3542" t="s">
        <v>4950</v>
      </c>
      <c r="D3542" t="s">
        <v>4951</v>
      </c>
      <c r="E3542" t="s">
        <v>76</v>
      </c>
      <c r="F3542" t="s">
        <v>4952</v>
      </c>
      <c r="G3542" t="str">
        <f>"00230325"</f>
        <v>00230325</v>
      </c>
      <c r="H3542">
        <v>792</v>
      </c>
      <c r="I3542">
        <v>150</v>
      </c>
      <c r="J3542">
        <v>0</v>
      </c>
      <c r="K3542">
        <v>0</v>
      </c>
      <c r="L3542">
        <v>0</v>
      </c>
      <c r="M3542">
        <v>0</v>
      </c>
      <c r="N3542">
        <v>0</v>
      </c>
      <c r="O3542">
        <v>0</v>
      </c>
      <c r="P3542">
        <v>0</v>
      </c>
      <c r="Q3542">
        <v>0</v>
      </c>
      <c r="R3542">
        <v>17</v>
      </c>
      <c r="S3542">
        <v>119</v>
      </c>
      <c r="T3542">
        <v>0</v>
      </c>
      <c r="V3542">
        <v>1</v>
      </c>
      <c r="W3542">
        <v>1061</v>
      </c>
    </row>
    <row r="3543" spans="1:23" x14ac:dyDescent="0.25">
      <c r="H3543">
        <v>703</v>
      </c>
    </row>
    <row r="3544" spans="1:23" x14ac:dyDescent="0.25">
      <c r="A3544">
        <v>1769</v>
      </c>
      <c r="B3544">
        <v>372</v>
      </c>
      <c r="C3544" t="s">
        <v>4953</v>
      </c>
      <c r="D3544" t="s">
        <v>14</v>
      </c>
      <c r="E3544" t="s">
        <v>91</v>
      </c>
      <c r="F3544" t="s">
        <v>4954</v>
      </c>
      <c r="G3544" t="str">
        <f>"00069778"</f>
        <v>00069778</v>
      </c>
      <c r="H3544" t="s">
        <v>2833</v>
      </c>
      <c r="I3544">
        <v>0</v>
      </c>
      <c r="J3544">
        <v>30</v>
      </c>
      <c r="K3544">
        <v>0</v>
      </c>
      <c r="L3544">
        <v>0</v>
      </c>
      <c r="M3544">
        <v>0</v>
      </c>
      <c r="N3544">
        <v>0</v>
      </c>
      <c r="O3544">
        <v>0</v>
      </c>
      <c r="P3544">
        <v>0</v>
      </c>
      <c r="Q3544">
        <v>0</v>
      </c>
      <c r="R3544">
        <v>32</v>
      </c>
      <c r="S3544">
        <v>224</v>
      </c>
      <c r="T3544">
        <v>0</v>
      </c>
      <c r="V3544">
        <v>2</v>
      </c>
      <c r="W3544" t="s">
        <v>4955</v>
      </c>
    </row>
    <row r="3545" spans="1:23" x14ac:dyDescent="0.25">
      <c r="H3545">
        <v>703</v>
      </c>
    </row>
    <row r="3546" spans="1:23" x14ac:dyDescent="0.25">
      <c r="A3546">
        <v>1770</v>
      </c>
      <c r="B3546">
        <v>2066</v>
      </c>
      <c r="C3546" t="s">
        <v>4956</v>
      </c>
      <c r="D3546" t="s">
        <v>285</v>
      </c>
      <c r="E3546" t="s">
        <v>76</v>
      </c>
      <c r="F3546" t="s">
        <v>4957</v>
      </c>
      <c r="G3546" t="str">
        <f>"00150331"</f>
        <v>00150331</v>
      </c>
      <c r="H3546">
        <v>990</v>
      </c>
      <c r="I3546">
        <v>0</v>
      </c>
      <c r="J3546">
        <v>70</v>
      </c>
      <c r="K3546">
        <v>0</v>
      </c>
      <c r="L3546">
        <v>0</v>
      </c>
      <c r="M3546">
        <v>0</v>
      </c>
      <c r="N3546">
        <v>0</v>
      </c>
      <c r="O3546">
        <v>0</v>
      </c>
      <c r="P3546">
        <v>0</v>
      </c>
      <c r="Q3546">
        <v>0</v>
      </c>
      <c r="R3546">
        <v>0</v>
      </c>
      <c r="S3546">
        <v>0</v>
      </c>
      <c r="T3546">
        <v>0</v>
      </c>
      <c r="V3546">
        <v>0</v>
      </c>
      <c r="W3546">
        <v>1060</v>
      </c>
    </row>
    <row r="3547" spans="1:23" x14ac:dyDescent="0.25">
      <c r="H3547">
        <v>703</v>
      </c>
    </row>
    <row r="3548" spans="1:23" x14ac:dyDescent="0.25">
      <c r="A3548">
        <v>1771</v>
      </c>
      <c r="B3548">
        <v>2363</v>
      </c>
      <c r="C3548" t="s">
        <v>4958</v>
      </c>
      <c r="D3548" t="s">
        <v>4959</v>
      </c>
      <c r="E3548" t="s">
        <v>76</v>
      </c>
      <c r="F3548" t="s">
        <v>4960</v>
      </c>
      <c r="G3548" t="str">
        <f>"00138594"</f>
        <v>00138594</v>
      </c>
      <c r="H3548">
        <v>880</v>
      </c>
      <c r="I3548">
        <v>150</v>
      </c>
      <c r="J3548">
        <v>30</v>
      </c>
      <c r="K3548">
        <v>0</v>
      </c>
      <c r="L3548">
        <v>0</v>
      </c>
      <c r="M3548">
        <v>0</v>
      </c>
      <c r="N3548">
        <v>0</v>
      </c>
      <c r="O3548">
        <v>0</v>
      </c>
      <c r="P3548">
        <v>0</v>
      </c>
      <c r="Q3548">
        <v>0</v>
      </c>
      <c r="R3548">
        <v>0</v>
      </c>
      <c r="S3548">
        <v>0</v>
      </c>
      <c r="T3548">
        <v>0</v>
      </c>
      <c r="V3548">
        <v>0</v>
      </c>
      <c r="W3548">
        <v>1060</v>
      </c>
    </row>
    <row r="3549" spans="1:23" x14ac:dyDescent="0.25">
      <c r="H3549">
        <v>703</v>
      </c>
    </row>
    <row r="3550" spans="1:23" x14ac:dyDescent="0.25">
      <c r="A3550">
        <v>1772</v>
      </c>
      <c r="B3550">
        <v>1679</v>
      </c>
      <c r="C3550" t="s">
        <v>4425</v>
      </c>
      <c r="D3550" t="s">
        <v>226</v>
      </c>
      <c r="E3550" t="s">
        <v>109</v>
      </c>
      <c r="F3550" t="s">
        <v>4961</v>
      </c>
      <c r="G3550" t="str">
        <f>"201412004536"</f>
        <v>201412004536</v>
      </c>
      <c r="H3550" t="s">
        <v>570</v>
      </c>
      <c r="I3550">
        <v>0</v>
      </c>
      <c r="J3550">
        <v>50</v>
      </c>
      <c r="K3550">
        <v>0</v>
      </c>
      <c r="L3550">
        <v>0</v>
      </c>
      <c r="M3550">
        <v>0</v>
      </c>
      <c r="N3550">
        <v>0</v>
      </c>
      <c r="O3550">
        <v>0</v>
      </c>
      <c r="P3550">
        <v>0</v>
      </c>
      <c r="Q3550">
        <v>0</v>
      </c>
      <c r="R3550">
        <v>0</v>
      </c>
      <c r="S3550">
        <v>0</v>
      </c>
      <c r="T3550">
        <v>0</v>
      </c>
      <c r="V3550">
        <v>0</v>
      </c>
      <c r="W3550" t="s">
        <v>4962</v>
      </c>
    </row>
    <row r="3551" spans="1:23" x14ac:dyDescent="0.25">
      <c r="H3551">
        <v>703</v>
      </c>
    </row>
    <row r="3552" spans="1:23" x14ac:dyDescent="0.25">
      <c r="A3552">
        <v>1773</v>
      </c>
      <c r="B3552">
        <v>2723</v>
      </c>
      <c r="C3552" t="s">
        <v>4080</v>
      </c>
      <c r="D3552" t="s">
        <v>155</v>
      </c>
      <c r="E3552" t="s">
        <v>350</v>
      </c>
      <c r="F3552" t="s">
        <v>4963</v>
      </c>
      <c r="G3552" t="str">
        <f>"00161343"</f>
        <v>00161343</v>
      </c>
      <c r="H3552" t="s">
        <v>764</v>
      </c>
      <c r="I3552">
        <v>0</v>
      </c>
      <c r="J3552">
        <v>0</v>
      </c>
      <c r="K3552">
        <v>0</v>
      </c>
      <c r="L3552">
        <v>0</v>
      </c>
      <c r="M3552">
        <v>0</v>
      </c>
      <c r="N3552">
        <v>0</v>
      </c>
      <c r="O3552">
        <v>0</v>
      </c>
      <c r="P3552">
        <v>0</v>
      </c>
      <c r="Q3552">
        <v>0</v>
      </c>
      <c r="R3552">
        <v>0</v>
      </c>
      <c r="S3552">
        <v>0</v>
      </c>
      <c r="T3552">
        <v>0</v>
      </c>
      <c r="V3552">
        <v>0</v>
      </c>
      <c r="W3552" t="s">
        <v>764</v>
      </c>
    </row>
    <row r="3553" spans="1:23" x14ac:dyDescent="0.25">
      <c r="H3553">
        <v>703</v>
      </c>
    </row>
    <row r="3554" spans="1:23" x14ac:dyDescent="0.25">
      <c r="A3554">
        <v>1774</v>
      </c>
      <c r="B3554">
        <v>2855</v>
      </c>
      <c r="C3554" t="s">
        <v>4964</v>
      </c>
      <c r="D3554" t="s">
        <v>251</v>
      </c>
      <c r="E3554" t="s">
        <v>41</v>
      </c>
      <c r="F3554" t="s">
        <v>4965</v>
      </c>
      <c r="G3554" t="str">
        <f>"00102670"</f>
        <v>00102670</v>
      </c>
      <c r="H3554" t="s">
        <v>764</v>
      </c>
      <c r="I3554">
        <v>0</v>
      </c>
      <c r="J3554">
        <v>0</v>
      </c>
      <c r="K3554">
        <v>0</v>
      </c>
      <c r="L3554">
        <v>0</v>
      </c>
      <c r="M3554">
        <v>0</v>
      </c>
      <c r="N3554">
        <v>0</v>
      </c>
      <c r="O3554">
        <v>0</v>
      </c>
      <c r="P3554">
        <v>0</v>
      </c>
      <c r="Q3554">
        <v>0</v>
      </c>
      <c r="R3554">
        <v>0</v>
      </c>
      <c r="S3554">
        <v>0</v>
      </c>
      <c r="T3554">
        <v>0</v>
      </c>
      <c r="V3554">
        <v>0</v>
      </c>
      <c r="W3554" t="s">
        <v>764</v>
      </c>
    </row>
    <row r="3555" spans="1:23" x14ac:dyDescent="0.25">
      <c r="H3555">
        <v>703</v>
      </c>
    </row>
    <row r="3556" spans="1:23" x14ac:dyDescent="0.25">
      <c r="A3556">
        <v>1775</v>
      </c>
      <c r="B3556">
        <v>168</v>
      </c>
      <c r="C3556" t="s">
        <v>4966</v>
      </c>
      <c r="D3556" t="s">
        <v>20</v>
      </c>
      <c r="E3556" t="s">
        <v>865</v>
      </c>
      <c r="F3556" t="s">
        <v>4967</v>
      </c>
      <c r="G3556" t="str">
        <f>"00227542"</f>
        <v>00227542</v>
      </c>
      <c r="H3556">
        <v>1001</v>
      </c>
      <c r="I3556">
        <v>0</v>
      </c>
      <c r="J3556">
        <v>30</v>
      </c>
      <c r="K3556">
        <v>0</v>
      </c>
      <c r="L3556">
        <v>0</v>
      </c>
      <c r="M3556">
        <v>0</v>
      </c>
      <c r="N3556">
        <v>0</v>
      </c>
      <c r="O3556">
        <v>0</v>
      </c>
      <c r="P3556">
        <v>0</v>
      </c>
      <c r="Q3556">
        <v>0</v>
      </c>
      <c r="R3556">
        <v>4</v>
      </c>
      <c r="S3556">
        <v>28</v>
      </c>
      <c r="T3556">
        <v>0</v>
      </c>
      <c r="V3556">
        <v>0</v>
      </c>
      <c r="W3556">
        <v>1059</v>
      </c>
    </row>
    <row r="3557" spans="1:23" x14ac:dyDescent="0.25">
      <c r="H3557" t="s">
        <v>70</v>
      </c>
    </row>
    <row r="3558" spans="1:23" x14ac:dyDescent="0.25">
      <c r="A3558">
        <v>1776</v>
      </c>
      <c r="B3558">
        <v>1842</v>
      </c>
      <c r="C3558" t="s">
        <v>1130</v>
      </c>
      <c r="D3558" t="s">
        <v>1282</v>
      </c>
      <c r="E3558" t="s">
        <v>15</v>
      </c>
      <c r="F3558" t="s">
        <v>4968</v>
      </c>
      <c r="G3558" t="str">
        <f>"00146465"</f>
        <v>00146465</v>
      </c>
      <c r="H3558">
        <v>979</v>
      </c>
      <c r="I3558">
        <v>0</v>
      </c>
      <c r="J3558">
        <v>50</v>
      </c>
      <c r="K3558">
        <v>0</v>
      </c>
      <c r="L3558">
        <v>30</v>
      </c>
      <c r="M3558">
        <v>0</v>
      </c>
      <c r="N3558">
        <v>0</v>
      </c>
      <c r="O3558">
        <v>0</v>
      </c>
      <c r="P3558">
        <v>0</v>
      </c>
      <c r="Q3558">
        <v>0</v>
      </c>
      <c r="R3558">
        <v>0</v>
      </c>
      <c r="S3558">
        <v>0</v>
      </c>
      <c r="T3558">
        <v>0</v>
      </c>
      <c r="V3558">
        <v>0</v>
      </c>
      <c r="W3558">
        <v>1059</v>
      </c>
    </row>
    <row r="3559" spans="1:23" x14ac:dyDescent="0.25">
      <c r="H3559" t="s">
        <v>70</v>
      </c>
    </row>
    <row r="3560" spans="1:23" x14ac:dyDescent="0.25">
      <c r="A3560">
        <v>1777</v>
      </c>
      <c r="B3560">
        <v>1070</v>
      </c>
      <c r="C3560" t="s">
        <v>4969</v>
      </c>
      <c r="D3560" t="s">
        <v>248</v>
      </c>
      <c r="E3560" t="s">
        <v>1633</v>
      </c>
      <c r="F3560" t="s">
        <v>4970</v>
      </c>
      <c r="G3560" t="str">
        <f>"00227796"</f>
        <v>00227796</v>
      </c>
      <c r="H3560" t="s">
        <v>187</v>
      </c>
      <c r="I3560">
        <v>0</v>
      </c>
      <c r="J3560">
        <v>30</v>
      </c>
      <c r="K3560">
        <v>0</v>
      </c>
      <c r="L3560">
        <v>0</v>
      </c>
      <c r="M3560">
        <v>0</v>
      </c>
      <c r="N3560">
        <v>0</v>
      </c>
      <c r="O3560">
        <v>0</v>
      </c>
      <c r="P3560">
        <v>0</v>
      </c>
      <c r="Q3560">
        <v>0</v>
      </c>
      <c r="R3560">
        <v>0</v>
      </c>
      <c r="S3560">
        <v>0</v>
      </c>
      <c r="T3560">
        <v>0</v>
      </c>
      <c r="V3560">
        <v>1</v>
      </c>
      <c r="W3560" t="s">
        <v>4971</v>
      </c>
    </row>
    <row r="3561" spans="1:23" x14ac:dyDescent="0.25">
      <c r="H3561" t="s">
        <v>70</v>
      </c>
    </row>
    <row r="3562" spans="1:23" x14ac:dyDescent="0.25">
      <c r="A3562">
        <v>1778</v>
      </c>
      <c r="B3562">
        <v>2485</v>
      </c>
      <c r="C3562" t="s">
        <v>4972</v>
      </c>
      <c r="D3562" t="s">
        <v>273</v>
      </c>
      <c r="E3562" t="s">
        <v>109</v>
      </c>
      <c r="F3562" t="s">
        <v>4973</v>
      </c>
      <c r="G3562" t="str">
        <f>"00155680"</f>
        <v>00155680</v>
      </c>
      <c r="H3562" t="s">
        <v>187</v>
      </c>
      <c r="I3562">
        <v>0</v>
      </c>
      <c r="J3562">
        <v>30</v>
      </c>
      <c r="K3562">
        <v>0</v>
      </c>
      <c r="L3562">
        <v>0</v>
      </c>
      <c r="M3562">
        <v>0</v>
      </c>
      <c r="N3562">
        <v>0</v>
      </c>
      <c r="O3562">
        <v>0</v>
      </c>
      <c r="P3562">
        <v>0</v>
      </c>
      <c r="Q3562">
        <v>0</v>
      </c>
      <c r="R3562">
        <v>0</v>
      </c>
      <c r="S3562">
        <v>0</v>
      </c>
      <c r="T3562">
        <v>0</v>
      </c>
      <c r="V3562">
        <v>0</v>
      </c>
      <c r="W3562" t="s">
        <v>4971</v>
      </c>
    </row>
    <row r="3563" spans="1:23" x14ac:dyDescent="0.25">
      <c r="H3563">
        <v>703</v>
      </c>
    </row>
    <row r="3564" spans="1:23" x14ac:dyDescent="0.25">
      <c r="A3564">
        <v>1779</v>
      </c>
      <c r="B3564">
        <v>2637</v>
      </c>
      <c r="C3564" t="s">
        <v>4974</v>
      </c>
      <c r="D3564" t="s">
        <v>1397</v>
      </c>
      <c r="E3564" t="s">
        <v>4975</v>
      </c>
      <c r="F3564" t="s">
        <v>4976</v>
      </c>
      <c r="G3564" t="str">
        <f>"00224560"</f>
        <v>00224560</v>
      </c>
      <c r="H3564" t="s">
        <v>840</v>
      </c>
      <c r="I3564">
        <v>0</v>
      </c>
      <c r="J3564">
        <v>70</v>
      </c>
      <c r="K3564">
        <v>0</v>
      </c>
      <c r="L3564">
        <v>70</v>
      </c>
      <c r="M3564">
        <v>0</v>
      </c>
      <c r="N3564">
        <v>0</v>
      </c>
      <c r="O3564">
        <v>0</v>
      </c>
      <c r="P3564">
        <v>0</v>
      </c>
      <c r="Q3564">
        <v>0</v>
      </c>
      <c r="R3564">
        <v>0</v>
      </c>
      <c r="S3564">
        <v>0</v>
      </c>
      <c r="T3564">
        <v>0</v>
      </c>
      <c r="V3564">
        <v>0</v>
      </c>
      <c r="W3564" t="s">
        <v>4971</v>
      </c>
    </row>
    <row r="3565" spans="1:23" x14ac:dyDescent="0.25">
      <c r="H3565" t="s">
        <v>70</v>
      </c>
    </row>
    <row r="3566" spans="1:23" x14ac:dyDescent="0.25">
      <c r="A3566">
        <v>1780</v>
      </c>
      <c r="B3566">
        <v>532</v>
      </c>
      <c r="C3566" t="s">
        <v>4977</v>
      </c>
      <c r="D3566" t="s">
        <v>2952</v>
      </c>
      <c r="E3566" t="s">
        <v>105</v>
      </c>
      <c r="F3566" t="s">
        <v>4978</v>
      </c>
      <c r="G3566" t="str">
        <f>"201511006689"</f>
        <v>201511006689</v>
      </c>
      <c r="H3566">
        <v>1023</v>
      </c>
      <c r="I3566">
        <v>0</v>
      </c>
      <c r="J3566">
        <v>0</v>
      </c>
      <c r="K3566">
        <v>0</v>
      </c>
      <c r="L3566">
        <v>0</v>
      </c>
      <c r="M3566">
        <v>0</v>
      </c>
      <c r="N3566">
        <v>0</v>
      </c>
      <c r="O3566">
        <v>0</v>
      </c>
      <c r="P3566">
        <v>0</v>
      </c>
      <c r="Q3566">
        <v>0</v>
      </c>
      <c r="R3566">
        <v>5</v>
      </c>
      <c r="S3566">
        <v>35</v>
      </c>
      <c r="T3566">
        <v>0</v>
      </c>
      <c r="V3566">
        <v>0</v>
      </c>
      <c r="W3566">
        <v>1058</v>
      </c>
    </row>
    <row r="3567" spans="1:23" x14ac:dyDescent="0.25">
      <c r="H3567">
        <v>703</v>
      </c>
    </row>
    <row r="3568" spans="1:23" x14ac:dyDescent="0.25">
      <c r="A3568">
        <v>1781</v>
      </c>
      <c r="B3568">
        <v>2800</v>
      </c>
      <c r="C3568" t="s">
        <v>4979</v>
      </c>
      <c r="D3568" t="s">
        <v>28</v>
      </c>
      <c r="E3568" t="s">
        <v>37</v>
      </c>
      <c r="F3568" t="s">
        <v>4980</v>
      </c>
      <c r="G3568" t="str">
        <f>"00171635"</f>
        <v>00171635</v>
      </c>
      <c r="H3568" t="s">
        <v>398</v>
      </c>
      <c r="I3568">
        <v>0</v>
      </c>
      <c r="J3568">
        <v>0</v>
      </c>
      <c r="K3568">
        <v>0</v>
      </c>
      <c r="L3568">
        <v>0</v>
      </c>
      <c r="M3568">
        <v>0</v>
      </c>
      <c r="N3568">
        <v>0</v>
      </c>
      <c r="O3568">
        <v>0</v>
      </c>
      <c r="P3568">
        <v>0</v>
      </c>
      <c r="Q3568">
        <v>0</v>
      </c>
      <c r="R3568">
        <v>0</v>
      </c>
      <c r="S3568">
        <v>0</v>
      </c>
      <c r="T3568">
        <v>0</v>
      </c>
      <c r="V3568">
        <v>0</v>
      </c>
      <c r="W3568" t="s">
        <v>398</v>
      </c>
    </row>
    <row r="3569" spans="1:23" x14ac:dyDescent="0.25">
      <c r="H3569">
        <v>703</v>
      </c>
    </row>
    <row r="3570" spans="1:23" x14ac:dyDescent="0.25">
      <c r="A3570">
        <v>1782</v>
      </c>
      <c r="B3570">
        <v>2085</v>
      </c>
      <c r="C3570" t="s">
        <v>4981</v>
      </c>
      <c r="D3570" t="s">
        <v>4982</v>
      </c>
      <c r="E3570" t="s">
        <v>53</v>
      </c>
      <c r="F3570" t="s">
        <v>4983</v>
      </c>
      <c r="G3570" t="str">
        <f>"201304004115"</f>
        <v>201304004115</v>
      </c>
      <c r="H3570">
        <v>957</v>
      </c>
      <c r="I3570">
        <v>0</v>
      </c>
      <c r="J3570">
        <v>70</v>
      </c>
      <c r="K3570">
        <v>30</v>
      </c>
      <c r="L3570">
        <v>0</v>
      </c>
      <c r="M3570">
        <v>0</v>
      </c>
      <c r="N3570">
        <v>0</v>
      </c>
      <c r="O3570">
        <v>0</v>
      </c>
      <c r="P3570">
        <v>0</v>
      </c>
      <c r="Q3570">
        <v>0</v>
      </c>
      <c r="R3570">
        <v>0</v>
      </c>
      <c r="S3570">
        <v>0</v>
      </c>
      <c r="T3570">
        <v>0</v>
      </c>
      <c r="V3570">
        <v>0</v>
      </c>
      <c r="W3570">
        <v>1057</v>
      </c>
    </row>
    <row r="3571" spans="1:23" x14ac:dyDescent="0.25">
      <c r="H3571" t="s">
        <v>70</v>
      </c>
    </row>
    <row r="3572" spans="1:23" x14ac:dyDescent="0.25">
      <c r="A3572">
        <v>1783</v>
      </c>
      <c r="B3572">
        <v>2914</v>
      </c>
      <c r="C3572" t="s">
        <v>4984</v>
      </c>
      <c r="D3572" t="s">
        <v>4985</v>
      </c>
      <c r="E3572" t="s">
        <v>1818</v>
      </c>
      <c r="F3572" t="s">
        <v>4986</v>
      </c>
      <c r="G3572" t="str">
        <f>"00228944"</f>
        <v>00228944</v>
      </c>
      <c r="H3572">
        <v>957</v>
      </c>
      <c r="I3572">
        <v>0</v>
      </c>
      <c r="J3572">
        <v>70</v>
      </c>
      <c r="K3572">
        <v>0</v>
      </c>
      <c r="L3572">
        <v>0</v>
      </c>
      <c r="M3572">
        <v>0</v>
      </c>
      <c r="N3572">
        <v>30</v>
      </c>
      <c r="O3572">
        <v>0</v>
      </c>
      <c r="P3572">
        <v>0</v>
      </c>
      <c r="Q3572">
        <v>0</v>
      </c>
      <c r="R3572">
        <v>0</v>
      </c>
      <c r="S3572">
        <v>0</v>
      </c>
      <c r="T3572">
        <v>0</v>
      </c>
      <c r="V3572">
        <v>0</v>
      </c>
      <c r="W3572">
        <v>1057</v>
      </c>
    </row>
    <row r="3573" spans="1:23" x14ac:dyDescent="0.25">
      <c r="H3573" t="s">
        <v>26</v>
      </c>
    </row>
    <row r="3574" spans="1:23" x14ac:dyDescent="0.25">
      <c r="A3574">
        <v>1784</v>
      </c>
      <c r="B3574">
        <v>1716</v>
      </c>
      <c r="C3574" t="s">
        <v>4987</v>
      </c>
      <c r="D3574" t="s">
        <v>722</v>
      </c>
      <c r="E3574" t="s">
        <v>99</v>
      </c>
      <c r="F3574" t="s">
        <v>4988</v>
      </c>
      <c r="G3574" t="str">
        <f>"00115506"</f>
        <v>00115506</v>
      </c>
      <c r="H3574" t="s">
        <v>4989</v>
      </c>
      <c r="I3574">
        <v>0</v>
      </c>
      <c r="J3574">
        <v>70</v>
      </c>
      <c r="K3574">
        <v>0</v>
      </c>
      <c r="L3574">
        <v>0</v>
      </c>
      <c r="M3574">
        <v>0</v>
      </c>
      <c r="N3574">
        <v>0</v>
      </c>
      <c r="O3574">
        <v>0</v>
      </c>
      <c r="P3574">
        <v>0</v>
      </c>
      <c r="Q3574">
        <v>0</v>
      </c>
      <c r="R3574">
        <v>0</v>
      </c>
      <c r="S3574">
        <v>0</v>
      </c>
      <c r="T3574">
        <v>0</v>
      </c>
      <c r="V3574">
        <v>0</v>
      </c>
      <c r="W3574" t="s">
        <v>4990</v>
      </c>
    </row>
    <row r="3575" spans="1:23" x14ac:dyDescent="0.25">
      <c r="H3575" t="s">
        <v>70</v>
      </c>
    </row>
    <row r="3576" spans="1:23" x14ac:dyDescent="0.25">
      <c r="A3576">
        <v>1785</v>
      </c>
      <c r="B3576">
        <v>1814</v>
      </c>
      <c r="C3576" t="s">
        <v>1730</v>
      </c>
      <c r="D3576" t="s">
        <v>258</v>
      </c>
      <c r="E3576" t="s">
        <v>76</v>
      </c>
      <c r="F3576" t="s">
        <v>4991</v>
      </c>
      <c r="G3576" t="str">
        <f>"201402010075"</f>
        <v>201402010075</v>
      </c>
      <c r="H3576" t="s">
        <v>1514</v>
      </c>
      <c r="I3576">
        <v>0</v>
      </c>
      <c r="J3576">
        <v>30</v>
      </c>
      <c r="K3576">
        <v>0</v>
      </c>
      <c r="L3576">
        <v>0</v>
      </c>
      <c r="M3576">
        <v>0</v>
      </c>
      <c r="N3576">
        <v>0</v>
      </c>
      <c r="O3576">
        <v>0</v>
      </c>
      <c r="P3576">
        <v>0</v>
      </c>
      <c r="Q3576">
        <v>0</v>
      </c>
      <c r="R3576">
        <v>28</v>
      </c>
      <c r="S3576">
        <v>196</v>
      </c>
      <c r="T3576">
        <v>0</v>
      </c>
      <c r="V3576">
        <v>0</v>
      </c>
      <c r="W3576" t="s">
        <v>4992</v>
      </c>
    </row>
    <row r="3577" spans="1:23" x14ac:dyDescent="0.25">
      <c r="H3577" t="s">
        <v>70</v>
      </c>
    </row>
    <row r="3578" spans="1:23" x14ac:dyDescent="0.25">
      <c r="A3578">
        <v>1786</v>
      </c>
      <c r="B3578">
        <v>1712</v>
      </c>
      <c r="C3578" t="s">
        <v>738</v>
      </c>
      <c r="D3578" t="s">
        <v>46</v>
      </c>
      <c r="E3578" t="s">
        <v>482</v>
      </c>
      <c r="F3578" t="s">
        <v>4993</v>
      </c>
      <c r="G3578" t="str">
        <f>"201406008217"</f>
        <v>201406008217</v>
      </c>
      <c r="H3578" t="s">
        <v>245</v>
      </c>
      <c r="I3578">
        <v>0</v>
      </c>
      <c r="J3578">
        <v>30</v>
      </c>
      <c r="K3578">
        <v>0</v>
      </c>
      <c r="L3578">
        <v>0</v>
      </c>
      <c r="M3578">
        <v>0</v>
      </c>
      <c r="N3578">
        <v>0</v>
      </c>
      <c r="O3578">
        <v>0</v>
      </c>
      <c r="P3578">
        <v>0</v>
      </c>
      <c r="Q3578">
        <v>0</v>
      </c>
      <c r="R3578">
        <v>0</v>
      </c>
      <c r="S3578">
        <v>0</v>
      </c>
      <c r="T3578">
        <v>0</v>
      </c>
      <c r="V3578">
        <v>0</v>
      </c>
      <c r="W3578" t="s">
        <v>4994</v>
      </c>
    </row>
    <row r="3579" spans="1:23" x14ac:dyDescent="0.25">
      <c r="H3579">
        <v>703</v>
      </c>
    </row>
    <row r="3580" spans="1:23" x14ac:dyDescent="0.25">
      <c r="A3580">
        <v>1787</v>
      </c>
      <c r="B3580">
        <v>596</v>
      </c>
      <c r="C3580" t="s">
        <v>4995</v>
      </c>
      <c r="D3580" t="s">
        <v>99</v>
      </c>
      <c r="E3580" t="s">
        <v>15</v>
      </c>
      <c r="F3580" t="s">
        <v>4996</v>
      </c>
      <c r="G3580" t="str">
        <f>"201412005346"</f>
        <v>201412005346</v>
      </c>
      <c r="H3580">
        <v>825</v>
      </c>
      <c r="I3580">
        <v>0</v>
      </c>
      <c r="J3580">
        <v>70</v>
      </c>
      <c r="K3580">
        <v>0</v>
      </c>
      <c r="L3580">
        <v>0</v>
      </c>
      <c r="M3580">
        <v>0</v>
      </c>
      <c r="N3580">
        <v>0</v>
      </c>
      <c r="O3580">
        <v>0</v>
      </c>
      <c r="P3580">
        <v>0</v>
      </c>
      <c r="Q3580">
        <v>0</v>
      </c>
      <c r="R3580">
        <v>23</v>
      </c>
      <c r="S3580">
        <v>161</v>
      </c>
      <c r="T3580">
        <v>0</v>
      </c>
      <c r="V3580">
        <v>0</v>
      </c>
      <c r="W3580">
        <v>1056</v>
      </c>
    </row>
    <row r="3581" spans="1:23" x14ac:dyDescent="0.25">
      <c r="H3581">
        <v>703</v>
      </c>
    </row>
    <row r="3582" spans="1:23" x14ac:dyDescent="0.25">
      <c r="A3582">
        <v>1788</v>
      </c>
      <c r="B3582">
        <v>1041</v>
      </c>
      <c r="C3582" t="s">
        <v>4997</v>
      </c>
      <c r="D3582" t="s">
        <v>46</v>
      </c>
      <c r="E3582" t="s">
        <v>68</v>
      </c>
      <c r="F3582" t="s">
        <v>4998</v>
      </c>
      <c r="G3582" t="str">
        <f>"00096491"</f>
        <v>00096491</v>
      </c>
      <c r="H3582" t="s">
        <v>358</v>
      </c>
      <c r="I3582">
        <v>0</v>
      </c>
      <c r="J3582">
        <v>30</v>
      </c>
      <c r="K3582">
        <v>0</v>
      </c>
      <c r="L3582">
        <v>0</v>
      </c>
      <c r="M3582">
        <v>30</v>
      </c>
      <c r="N3582">
        <v>0</v>
      </c>
      <c r="O3582">
        <v>0</v>
      </c>
      <c r="P3582">
        <v>0</v>
      </c>
      <c r="Q3582">
        <v>0</v>
      </c>
      <c r="R3582">
        <v>0</v>
      </c>
      <c r="S3582">
        <v>0</v>
      </c>
      <c r="T3582">
        <v>0</v>
      </c>
      <c r="V3582">
        <v>0</v>
      </c>
      <c r="W3582" t="s">
        <v>4999</v>
      </c>
    </row>
    <row r="3583" spans="1:23" x14ac:dyDescent="0.25">
      <c r="H3583">
        <v>703</v>
      </c>
    </row>
    <row r="3584" spans="1:23" x14ac:dyDescent="0.25">
      <c r="A3584">
        <v>1789</v>
      </c>
      <c r="B3584">
        <v>1401</v>
      </c>
      <c r="C3584" t="s">
        <v>5000</v>
      </c>
      <c r="D3584" t="s">
        <v>41</v>
      </c>
      <c r="E3584" t="s">
        <v>109</v>
      </c>
      <c r="F3584" t="s">
        <v>5001</v>
      </c>
      <c r="G3584" t="str">
        <f>"201412001313"</f>
        <v>201412001313</v>
      </c>
      <c r="H3584" t="s">
        <v>491</v>
      </c>
      <c r="I3584">
        <v>0</v>
      </c>
      <c r="J3584">
        <v>30</v>
      </c>
      <c r="K3584">
        <v>0</v>
      </c>
      <c r="L3584">
        <v>0</v>
      </c>
      <c r="M3584">
        <v>0</v>
      </c>
      <c r="N3584">
        <v>0</v>
      </c>
      <c r="O3584">
        <v>0</v>
      </c>
      <c r="P3584">
        <v>0</v>
      </c>
      <c r="Q3584">
        <v>0</v>
      </c>
      <c r="R3584">
        <v>0</v>
      </c>
      <c r="S3584">
        <v>0</v>
      </c>
      <c r="T3584">
        <v>0</v>
      </c>
      <c r="V3584">
        <v>2</v>
      </c>
      <c r="W3584" t="s">
        <v>5002</v>
      </c>
    </row>
    <row r="3585" spans="1:23" x14ac:dyDescent="0.25">
      <c r="H3585" t="s">
        <v>70</v>
      </c>
    </row>
    <row r="3586" spans="1:23" x14ac:dyDescent="0.25">
      <c r="A3586">
        <v>1790</v>
      </c>
      <c r="B3586">
        <v>299</v>
      </c>
      <c r="C3586" t="s">
        <v>5003</v>
      </c>
      <c r="D3586" t="s">
        <v>46</v>
      </c>
      <c r="E3586" t="s">
        <v>135</v>
      </c>
      <c r="F3586" t="s">
        <v>5004</v>
      </c>
      <c r="G3586" t="str">
        <f>"00109572"</f>
        <v>00109572</v>
      </c>
      <c r="H3586" t="s">
        <v>202</v>
      </c>
      <c r="I3586">
        <v>0</v>
      </c>
      <c r="J3586">
        <v>70</v>
      </c>
      <c r="K3586">
        <v>0</v>
      </c>
      <c r="L3586">
        <v>0</v>
      </c>
      <c r="M3586">
        <v>0</v>
      </c>
      <c r="N3586">
        <v>0</v>
      </c>
      <c r="O3586">
        <v>0</v>
      </c>
      <c r="P3586">
        <v>0</v>
      </c>
      <c r="Q3586">
        <v>0</v>
      </c>
      <c r="R3586">
        <v>0</v>
      </c>
      <c r="S3586">
        <v>0</v>
      </c>
      <c r="T3586">
        <v>0</v>
      </c>
      <c r="V3586">
        <v>0</v>
      </c>
      <c r="W3586" t="s">
        <v>5005</v>
      </c>
    </row>
    <row r="3587" spans="1:23" x14ac:dyDescent="0.25">
      <c r="H3587" t="s">
        <v>70</v>
      </c>
    </row>
    <row r="3588" spans="1:23" x14ac:dyDescent="0.25">
      <c r="A3588">
        <v>1791</v>
      </c>
      <c r="B3588">
        <v>769</v>
      </c>
      <c r="C3588" t="s">
        <v>5006</v>
      </c>
      <c r="D3588" t="s">
        <v>2612</v>
      </c>
      <c r="E3588" t="s">
        <v>37</v>
      </c>
      <c r="F3588" t="s">
        <v>5007</v>
      </c>
      <c r="G3588" t="str">
        <f>"00227492"</f>
        <v>00227492</v>
      </c>
      <c r="H3588" t="s">
        <v>202</v>
      </c>
      <c r="I3588">
        <v>0</v>
      </c>
      <c r="J3588">
        <v>70</v>
      </c>
      <c r="K3588">
        <v>0</v>
      </c>
      <c r="L3588">
        <v>0</v>
      </c>
      <c r="M3588">
        <v>0</v>
      </c>
      <c r="N3588">
        <v>0</v>
      </c>
      <c r="O3588">
        <v>0</v>
      </c>
      <c r="P3588">
        <v>0</v>
      </c>
      <c r="Q3588">
        <v>0</v>
      </c>
      <c r="R3588">
        <v>0</v>
      </c>
      <c r="S3588">
        <v>0</v>
      </c>
      <c r="T3588">
        <v>0</v>
      </c>
      <c r="V3588">
        <v>0</v>
      </c>
      <c r="W3588" t="s">
        <v>5005</v>
      </c>
    </row>
    <row r="3589" spans="1:23" x14ac:dyDescent="0.25">
      <c r="H3589">
        <v>703</v>
      </c>
    </row>
    <row r="3590" spans="1:23" x14ac:dyDescent="0.25">
      <c r="A3590">
        <v>1792</v>
      </c>
      <c r="B3590">
        <v>327</v>
      </c>
      <c r="C3590" t="s">
        <v>278</v>
      </c>
      <c r="D3590" t="s">
        <v>273</v>
      </c>
      <c r="E3590" t="s">
        <v>15</v>
      </c>
      <c r="F3590" t="s">
        <v>5008</v>
      </c>
      <c r="G3590" t="str">
        <f>"00224204"</f>
        <v>00224204</v>
      </c>
      <c r="H3590" t="s">
        <v>202</v>
      </c>
      <c r="I3590">
        <v>0</v>
      </c>
      <c r="J3590">
        <v>70</v>
      </c>
      <c r="K3590">
        <v>0</v>
      </c>
      <c r="L3590">
        <v>0</v>
      </c>
      <c r="M3590">
        <v>0</v>
      </c>
      <c r="N3590">
        <v>0</v>
      </c>
      <c r="O3590">
        <v>0</v>
      </c>
      <c r="P3590">
        <v>0</v>
      </c>
      <c r="Q3590">
        <v>0</v>
      </c>
      <c r="R3590">
        <v>0</v>
      </c>
      <c r="S3590">
        <v>0</v>
      </c>
      <c r="T3590">
        <v>0</v>
      </c>
      <c r="V3590">
        <v>0</v>
      </c>
      <c r="W3590" t="s">
        <v>5005</v>
      </c>
    </row>
    <row r="3591" spans="1:23" x14ac:dyDescent="0.25">
      <c r="H3591">
        <v>703</v>
      </c>
    </row>
    <row r="3592" spans="1:23" x14ac:dyDescent="0.25">
      <c r="A3592">
        <v>1793</v>
      </c>
      <c r="B3592">
        <v>2418</v>
      </c>
      <c r="C3592" t="s">
        <v>5009</v>
      </c>
      <c r="D3592" t="s">
        <v>5010</v>
      </c>
      <c r="E3592" t="s">
        <v>91</v>
      </c>
      <c r="F3592" t="s">
        <v>5011</v>
      </c>
      <c r="G3592" t="str">
        <f>"00191070"</f>
        <v>00191070</v>
      </c>
      <c r="H3592" t="s">
        <v>202</v>
      </c>
      <c r="I3592">
        <v>0</v>
      </c>
      <c r="J3592">
        <v>70</v>
      </c>
      <c r="K3592">
        <v>0</v>
      </c>
      <c r="L3592">
        <v>0</v>
      </c>
      <c r="M3592">
        <v>0</v>
      </c>
      <c r="N3592">
        <v>0</v>
      </c>
      <c r="O3592">
        <v>0</v>
      </c>
      <c r="P3592">
        <v>0</v>
      </c>
      <c r="Q3592">
        <v>0</v>
      </c>
      <c r="R3592">
        <v>0</v>
      </c>
      <c r="S3592">
        <v>0</v>
      </c>
      <c r="T3592">
        <v>0</v>
      </c>
      <c r="V3592">
        <v>0</v>
      </c>
      <c r="W3592" t="s">
        <v>5005</v>
      </c>
    </row>
    <row r="3593" spans="1:23" x14ac:dyDescent="0.25">
      <c r="H3593">
        <v>703</v>
      </c>
    </row>
    <row r="3594" spans="1:23" x14ac:dyDescent="0.25">
      <c r="A3594">
        <v>1794</v>
      </c>
      <c r="B3594">
        <v>1278</v>
      </c>
      <c r="C3594" t="s">
        <v>5012</v>
      </c>
      <c r="D3594" t="s">
        <v>28</v>
      </c>
      <c r="E3594" t="s">
        <v>105</v>
      </c>
      <c r="F3594" t="s">
        <v>5013</v>
      </c>
      <c r="G3594" t="str">
        <f>"00218763"</f>
        <v>00218763</v>
      </c>
      <c r="H3594" t="s">
        <v>202</v>
      </c>
      <c r="I3594">
        <v>0</v>
      </c>
      <c r="J3594">
        <v>70</v>
      </c>
      <c r="K3594">
        <v>0</v>
      </c>
      <c r="L3594">
        <v>0</v>
      </c>
      <c r="M3594">
        <v>0</v>
      </c>
      <c r="N3594">
        <v>0</v>
      </c>
      <c r="O3594">
        <v>0</v>
      </c>
      <c r="P3594">
        <v>0</v>
      </c>
      <c r="Q3594">
        <v>0</v>
      </c>
      <c r="R3594">
        <v>0</v>
      </c>
      <c r="S3594">
        <v>0</v>
      </c>
      <c r="T3594">
        <v>0</v>
      </c>
      <c r="V3594">
        <v>0</v>
      </c>
      <c r="W3594" t="s">
        <v>5005</v>
      </c>
    </row>
    <row r="3595" spans="1:23" x14ac:dyDescent="0.25">
      <c r="H3595">
        <v>703</v>
      </c>
    </row>
    <row r="3596" spans="1:23" x14ac:dyDescent="0.25">
      <c r="A3596">
        <v>1795</v>
      </c>
      <c r="B3596">
        <v>1822</v>
      </c>
      <c r="C3596" t="s">
        <v>5014</v>
      </c>
      <c r="D3596" t="s">
        <v>4523</v>
      </c>
      <c r="E3596" t="s">
        <v>53</v>
      </c>
      <c r="F3596" t="s">
        <v>5015</v>
      </c>
      <c r="G3596" t="str">
        <f>"00230013"</f>
        <v>00230013</v>
      </c>
      <c r="H3596" t="s">
        <v>1014</v>
      </c>
      <c r="I3596">
        <v>150</v>
      </c>
      <c r="J3596">
        <v>30</v>
      </c>
      <c r="K3596">
        <v>0</v>
      </c>
      <c r="L3596">
        <v>0</v>
      </c>
      <c r="M3596">
        <v>0</v>
      </c>
      <c r="N3596">
        <v>0</v>
      </c>
      <c r="O3596">
        <v>0</v>
      </c>
      <c r="P3596">
        <v>0</v>
      </c>
      <c r="Q3596">
        <v>0</v>
      </c>
      <c r="R3596">
        <v>0</v>
      </c>
      <c r="S3596">
        <v>0</v>
      </c>
      <c r="T3596">
        <v>0</v>
      </c>
      <c r="V3596">
        <v>0</v>
      </c>
      <c r="W3596" t="s">
        <v>5005</v>
      </c>
    </row>
    <row r="3597" spans="1:23" x14ac:dyDescent="0.25">
      <c r="H3597">
        <v>703</v>
      </c>
    </row>
    <row r="3598" spans="1:23" x14ac:dyDescent="0.25">
      <c r="A3598">
        <v>1796</v>
      </c>
      <c r="B3598">
        <v>1669</v>
      </c>
      <c r="C3598" t="s">
        <v>2534</v>
      </c>
      <c r="D3598" t="s">
        <v>46</v>
      </c>
      <c r="E3598" t="s">
        <v>5016</v>
      </c>
      <c r="F3598" t="s">
        <v>5017</v>
      </c>
      <c r="G3598" t="str">
        <f>"00220416"</f>
        <v>00220416</v>
      </c>
      <c r="H3598">
        <v>935</v>
      </c>
      <c r="I3598">
        <v>0</v>
      </c>
      <c r="J3598">
        <v>70</v>
      </c>
      <c r="K3598">
        <v>0</v>
      </c>
      <c r="L3598">
        <v>0</v>
      </c>
      <c r="M3598">
        <v>0</v>
      </c>
      <c r="N3598">
        <v>0</v>
      </c>
      <c r="O3598">
        <v>0</v>
      </c>
      <c r="P3598">
        <v>0</v>
      </c>
      <c r="Q3598">
        <v>0</v>
      </c>
      <c r="R3598">
        <v>7</v>
      </c>
      <c r="S3598">
        <v>49</v>
      </c>
      <c r="T3598">
        <v>0</v>
      </c>
      <c r="V3598">
        <v>0</v>
      </c>
      <c r="W3598">
        <v>1054</v>
      </c>
    </row>
    <row r="3599" spans="1:23" x14ac:dyDescent="0.25">
      <c r="H3599">
        <v>703</v>
      </c>
    </row>
    <row r="3600" spans="1:23" x14ac:dyDescent="0.25">
      <c r="A3600">
        <v>1797</v>
      </c>
      <c r="B3600">
        <v>1892</v>
      </c>
      <c r="C3600" t="s">
        <v>5018</v>
      </c>
      <c r="D3600" t="s">
        <v>273</v>
      </c>
      <c r="E3600" t="s">
        <v>708</v>
      </c>
      <c r="F3600" t="s">
        <v>5019</v>
      </c>
      <c r="G3600" t="str">
        <f>"201510000729"</f>
        <v>201510000729</v>
      </c>
      <c r="H3600" t="s">
        <v>131</v>
      </c>
      <c r="I3600">
        <v>0</v>
      </c>
      <c r="J3600">
        <v>0</v>
      </c>
      <c r="K3600">
        <v>0</v>
      </c>
      <c r="L3600">
        <v>0</v>
      </c>
      <c r="M3600">
        <v>0</v>
      </c>
      <c r="N3600">
        <v>0</v>
      </c>
      <c r="O3600">
        <v>0</v>
      </c>
      <c r="P3600">
        <v>0</v>
      </c>
      <c r="Q3600">
        <v>0</v>
      </c>
      <c r="R3600">
        <v>0</v>
      </c>
      <c r="S3600">
        <v>0</v>
      </c>
      <c r="T3600">
        <v>0</v>
      </c>
      <c r="V3600">
        <v>0</v>
      </c>
      <c r="W3600" t="s">
        <v>131</v>
      </c>
    </row>
    <row r="3601" spans="1:23" x14ac:dyDescent="0.25">
      <c r="H3601">
        <v>703</v>
      </c>
    </row>
    <row r="3602" spans="1:23" x14ac:dyDescent="0.25">
      <c r="A3602">
        <v>1798</v>
      </c>
      <c r="B3602">
        <v>1098</v>
      </c>
      <c r="C3602" t="s">
        <v>5020</v>
      </c>
      <c r="D3602" t="s">
        <v>40</v>
      </c>
      <c r="E3602" t="s">
        <v>99</v>
      </c>
      <c r="F3602" t="s">
        <v>5021</v>
      </c>
      <c r="G3602" t="str">
        <f>"00228540"</f>
        <v>00228540</v>
      </c>
      <c r="H3602" t="s">
        <v>972</v>
      </c>
      <c r="I3602">
        <v>0</v>
      </c>
      <c r="J3602">
        <v>0</v>
      </c>
      <c r="K3602">
        <v>0</v>
      </c>
      <c r="L3602">
        <v>0</v>
      </c>
      <c r="M3602">
        <v>0</v>
      </c>
      <c r="N3602">
        <v>0</v>
      </c>
      <c r="O3602">
        <v>0</v>
      </c>
      <c r="P3602">
        <v>0</v>
      </c>
      <c r="Q3602">
        <v>0</v>
      </c>
      <c r="R3602">
        <v>5</v>
      </c>
      <c r="S3602">
        <v>35</v>
      </c>
      <c r="T3602">
        <v>0</v>
      </c>
      <c r="V3602">
        <v>0</v>
      </c>
      <c r="W3602" t="s">
        <v>5022</v>
      </c>
    </row>
    <row r="3603" spans="1:23" x14ac:dyDescent="0.25">
      <c r="H3603">
        <v>703</v>
      </c>
    </row>
    <row r="3604" spans="1:23" x14ac:dyDescent="0.25">
      <c r="A3604">
        <v>1799</v>
      </c>
      <c r="B3604">
        <v>655</v>
      </c>
      <c r="C3604" t="s">
        <v>5023</v>
      </c>
      <c r="D3604" t="s">
        <v>911</v>
      </c>
      <c r="E3604" t="s">
        <v>53</v>
      </c>
      <c r="F3604" t="s">
        <v>5024</v>
      </c>
      <c r="G3604" t="str">
        <f>"00229678"</f>
        <v>00229678</v>
      </c>
      <c r="H3604">
        <v>1023</v>
      </c>
      <c r="I3604">
        <v>0</v>
      </c>
      <c r="J3604">
        <v>0</v>
      </c>
      <c r="K3604">
        <v>30</v>
      </c>
      <c r="L3604">
        <v>0</v>
      </c>
      <c r="M3604">
        <v>0</v>
      </c>
      <c r="N3604">
        <v>0</v>
      </c>
      <c r="O3604">
        <v>0</v>
      </c>
      <c r="P3604">
        <v>0</v>
      </c>
      <c r="Q3604">
        <v>0</v>
      </c>
      <c r="R3604">
        <v>0</v>
      </c>
      <c r="S3604">
        <v>0</v>
      </c>
      <c r="T3604">
        <v>0</v>
      </c>
      <c r="V3604">
        <v>0</v>
      </c>
      <c r="W3604">
        <v>1053</v>
      </c>
    </row>
    <row r="3605" spans="1:23" x14ac:dyDescent="0.25">
      <c r="H3605" t="s">
        <v>70</v>
      </c>
    </row>
    <row r="3606" spans="1:23" x14ac:dyDescent="0.25">
      <c r="A3606">
        <v>1800</v>
      </c>
      <c r="B3606">
        <v>1001</v>
      </c>
      <c r="C3606" t="s">
        <v>5025</v>
      </c>
      <c r="D3606" t="s">
        <v>134</v>
      </c>
      <c r="E3606" t="s">
        <v>62</v>
      </c>
      <c r="F3606" t="s">
        <v>5026</v>
      </c>
      <c r="G3606" t="str">
        <f>"00162369"</f>
        <v>00162369</v>
      </c>
      <c r="H3606">
        <v>1023</v>
      </c>
      <c r="I3606">
        <v>0</v>
      </c>
      <c r="J3606">
        <v>30</v>
      </c>
      <c r="K3606">
        <v>0</v>
      </c>
      <c r="L3606">
        <v>0</v>
      </c>
      <c r="M3606">
        <v>0</v>
      </c>
      <c r="N3606">
        <v>0</v>
      </c>
      <c r="O3606">
        <v>0</v>
      </c>
      <c r="P3606">
        <v>0</v>
      </c>
      <c r="Q3606">
        <v>0</v>
      </c>
      <c r="R3606">
        <v>0</v>
      </c>
      <c r="S3606">
        <v>0</v>
      </c>
      <c r="T3606">
        <v>0</v>
      </c>
      <c r="V3606">
        <v>0</v>
      </c>
      <c r="W3606">
        <v>1053</v>
      </c>
    </row>
    <row r="3607" spans="1:23" x14ac:dyDescent="0.25">
      <c r="H3607" t="s">
        <v>26</v>
      </c>
    </row>
    <row r="3608" spans="1:23" x14ac:dyDescent="0.25">
      <c r="A3608">
        <v>1801</v>
      </c>
      <c r="B3608">
        <v>550</v>
      </c>
      <c r="C3608" t="s">
        <v>5027</v>
      </c>
      <c r="D3608" t="s">
        <v>947</v>
      </c>
      <c r="E3608" t="s">
        <v>99</v>
      </c>
      <c r="F3608" t="s">
        <v>5028</v>
      </c>
      <c r="G3608" t="str">
        <f>"201402001671"</f>
        <v>201402001671</v>
      </c>
      <c r="H3608">
        <v>814</v>
      </c>
      <c r="I3608">
        <v>0</v>
      </c>
      <c r="J3608">
        <v>70</v>
      </c>
      <c r="K3608">
        <v>50</v>
      </c>
      <c r="L3608">
        <v>0</v>
      </c>
      <c r="M3608">
        <v>0</v>
      </c>
      <c r="N3608">
        <v>70</v>
      </c>
      <c r="O3608">
        <v>0</v>
      </c>
      <c r="P3608">
        <v>0</v>
      </c>
      <c r="Q3608">
        <v>0</v>
      </c>
      <c r="R3608">
        <v>7</v>
      </c>
      <c r="S3608">
        <v>49</v>
      </c>
      <c r="T3608">
        <v>0</v>
      </c>
      <c r="V3608">
        <v>2</v>
      </c>
      <c r="W3608">
        <v>1053</v>
      </c>
    </row>
    <row r="3609" spans="1:23" x14ac:dyDescent="0.25">
      <c r="H3609" t="s">
        <v>70</v>
      </c>
    </row>
    <row r="3610" spans="1:23" x14ac:dyDescent="0.25">
      <c r="A3610">
        <v>1802</v>
      </c>
      <c r="B3610">
        <v>548</v>
      </c>
      <c r="C3610" t="s">
        <v>5029</v>
      </c>
      <c r="D3610" t="s">
        <v>1344</v>
      </c>
      <c r="E3610" t="s">
        <v>79</v>
      </c>
      <c r="F3610" t="s">
        <v>5030</v>
      </c>
      <c r="G3610" t="str">
        <f>"201512001578"</f>
        <v>201512001578</v>
      </c>
      <c r="H3610" t="s">
        <v>881</v>
      </c>
      <c r="I3610">
        <v>0</v>
      </c>
      <c r="J3610">
        <v>0</v>
      </c>
      <c r="K3610">
        <v>0</v>
      </c>
      <c r="L3610">
        <v>0</v>
      </c>
      <c r="M3610">
        <v>0</v>
      </c>
      <c r="N3610">
        <v>0</v>
      </c>
      <c r="O3610">
        <v>0</v>
      </c>
      <c r="P3610">
        <v>0</v>
      </c>
      <c r="Q3610">
        <v>0</v>
      </c>
      <c r="R3610">
        <v>0</v>
      </c>
      <c r="S3610">
        <v>0</v>
      </c>
      <c r="T3610">
        <v>0</v>
      </c>
      <c r="V3610">
        <v>2</v>
      </c>
      <c r="W3610" t="s">
        <v>881</v>
      </c>
    </row>
    <row r="3611" spans="1:23" x14ac:dyDescent="0.25">
      <c r="H3611">
        <v>703</v>
      </c>
    </row>
    <row r="3612" spans="1:23" x14ac:dyDescent="0.25">
      <c r="A3612">
        <v>1803</v>
      </c>
      <c r="B3612">
        <v>2189</v>
      </c>
      <c r="C3612" t="s">
        <v>5031</v>
      </c>
      <c r="D3612" t="s">
        <v>32</v>
      </c>
      <c r="E3612" t="s">
        <v>24</v>
      </c>
      <c r="F3612" t="s">
        <v>5032</v>
      </c>
      <c r="G3612" t="str">
        <f>"201511013496"</f>
        <v>201511013496</v>
      </c>
      <c r="H3612">
        <v>902</v>
      </c>
      <c r="I3612">
        <v>150</v>
      </c>
      <c r="J3612">
        <v>0</v>
      </c>
      <c r="K3612">
        <v>0</v>
      </c>
      <c r="L3612">
        <v>0</v>
      </c>
      <c r="M3612">
        <v>0</v>
      </c>
      <c r="N3612">
        <v>0</v>
      </c>
      <c r="O3612">
        <v>0</v>
      </c>
      <c r="P3612">
        <v>0</v>
      </c>
      <c r="Q3612">
        <v>0</v>
      </c>
      <c r="R3612">
        <v>0</v>
      </c>
      <c r="S3612">
        <v>0</v>
      </c>
      <c r="T3612">
        <v>0</v>
      </c>
      <c r="V3612">
        <v>0</v>
      </c>
      <c r="W3612">
        <v>1052</v>
      </c>
    </row>
    <row r="3613" spans="1:23" x14ac:dyDescent="0.25">
      <c r="H3613">
        <v>703</v>
      </c>
    </row>
    <row r="3614" spans="1:23" x14ac:dyDescent="0.25">
      <c r="A3614">
        <v>1804</v>
      </c>
      <c r="B3614">
        <v>2595</v>
      </c>
      <c r="C3614" t="s">
        <v>5033</v>
      </c>
      <c r="D3614" t="s">
        <v>302</v>
      </c>
      <c r="E3614" t="s">
        <v>53</v>
      </c>
      <c r="F3614" t="s">
        <v>5034</v>
      </c>
      <c r="G3614" t="str">
        <f>"00137323"</f>
        <v>00137323</v>
      </c>
      <c r="H3614">
        <v>726</v>
      </c>
      <c r="I3614">
        <v>0</v>
      </c>
      <c r="J3614">
        <v>30</v>
      </c>
      <c r="K3614">
        <v>0</v>
      </c>
      <c r="L3614">
        <v>0</v>
      </c>
      <c r="M3614">
        <v>30</v>
      </c>
      <c r="N3614">
        <v>0</v>
      </c>
      <c r="O3614">
        <v>0</v>
      </c>
      <c r="P3614">
        <v>0</v>
      </c>
      <c r="Q3614">
        <v>0</v>
      </c>
      <c r="R3614">
        <v>38</v>
      </c>
      <c r="S3614">
        <v>266</v>
      </c>
      <c r="T3614">
        <v>0</v>
      </c>
      <c r="V3614">
        <v>0</v>
      </c>
      <c r="W3614">
        <v>1052</v>
      </c>
    </row>
    <row r="3615" spans="1:23" x14ac:dyDescent="0.25">
      <c r="H3615" t="s">
        <v>70</v>
      </c>
    </row>
    <row r="3616" spans="1:23" x14ac:dyDescent="0.25">
      <c r="A3616">
        <v>1805</v>
      </c>
      <c r="B3616">
        <v>3055</v>
      </c>
      <c r="C3616" t="s">
        <v>5035</v>
      </c>
      <c r="D3616" t="s">
        <v>3518</v>
      </c>
      <c r="E3616" t="s">
        <v>523</v>
      </c>
      <c r="F3616" t="s">
        <v>5036</v>
      </c>
      <c r="G3616" t="str">
        <f>"00226559"</f>
        <v>00226559</v>
      </c>
      <c r="H3616" t="s">
        <v>2235</v>
      </c>
      <c r="I3616">
        <v>150</v>
      </c>
      <c r="J3616">
        <v>30</v>
      </c>
      <c r="K3616">
        <v>0</v>
      </c>
      <c r="L3616">
        <v>0</v>
      </c>
      <c r="M3616">
        <v>0</v>
      </c>
      <c r="N3616">
        <v>0</v>
      </c>
      <c r="O3616">
        <v>0</v>
      </c>
      <c r="P3616">
        <v>30</v>
      </c>
      <c r="Q3616">
        <v>0</v>
      </c>
      <c r="R3616">
        <v>0</v>
      </c>
      <c r="S3616">
        <v>0</v>
      </c>
      <c r="T3616">
        <v>0</v>
      </c>
      <c r="V3616">
        <v>0</v>
      </c>
      <c r="W3616" t="s">
        <v>5037</v>
      </c>
    </row>
    <row r="3617" spans="1:23" x14ac:dyDescent="0.25">
      <c r="H3617">
        <v>703</v>
      </c>
    </row>
    <row r="3618" spans="1:23" x14ac:dyDescent="0.25">
      <c r="A3618">
        <v>1806</v>
      </c>
      <c r="B3618">
        <v>2219</v>
      </c>
      <c r="C3618" t="s">
        <v>5038</v>
      </c>
      <c r="D3618" t="s">
        <v>135</v>
      </c>
      <c r="E3618" t="s">
        <v>105</v>
      </c>
      <c r="F3618" t="s">
        <v>5039</v>
      </c>
      <c r="G3618" t="str">
        <f>"201412007167"</f>
        <v>201412007167</v>
      </c>
      <c r="H3618">
        <v>869</v>
      </c>
      <c r="I3618">
        <v>0</v>
      </c>
      <c r="J3618">
        <v>70</v>
      </c>
      <c r="K3618">
        <v>0</v>
      </c>
      <c r="L3618">
        <v>0</v>
      </c>
      <c r="M3618">
        <v>0</v>
      </c>
      <c r="N3618">
        <v>0</v>
      </c>
      <c r="O3618">
        <v>0</v>
      </c>
      <c r="P3618">
        <v>0</v>
      </c>
      <c r="Q3618">
        <v>0</v>
      </c>
      <c r="R3618">
        <v>16</v>
      </c>
      <c r="S3618">
        <v>112</v>
      </c>
      <c r="T3618">
        <v>0</v>
      </c>
      <c r="V3618">
        <v>0</v>
      </c>
      <c r="W3618">
        <v>1051</v>
      </c>
    </row>
    <row r="3619" spans="1:23" x14ac:dyDescent="0.25">
      <c r="H3619">
        <v>703</v>
      </c>
    </row>
    <row r="3620" spans="1:23" x14ac:dyDescent="0.25">
      <c r="A3620">
        <v>1807</v>
      </c>
      <c r="B3620">
        <v>1995</v>
      </c>
      <c r="C3620" t="s">
        <v>322</v>
      </c>
      <c r="D3620" t="s">
        <v>5040</v>
      </c>
      <c r="E3620" t="s">
        <v>88</v>
      </c>
      <c r="F3620" t="s">
        <v>5041</v>
      </c>
      <c r="G3620" t="str">
        <f>"00141919"</f>
        <v>00141919</v>
      </c>
      <c r="H3620" t="s">
        <v>1370</v>
      </c>
      <c r="I3620">
        <v>0</v>
      </c>
      <c r="J3620">
        <v>70</v>
      </c>
      <c r="K3620">
        <v>0</v>
      </c>
      <c r="L3620">
        <v>0</v>
      </c>
      <c r="M3620">
        <v>0</v>
      </c>
      <c r="N3620">
        <v>0</v>
      </c>
      <c r="O3620">
        <v>0</v>
      </c>
      <c r="P3620">
        <v>0</v>
      </c>
      <c r="Q3620">
        <v>0</v>
      </c>
      <c r="R3620">
        <v>0</v>
      </c>
      <c r="S3620">
        <v>0</v>
      </c>
      <c r="T3620">
        <v>0</v>
      </c>
      <c r="V3620">
        <v>0</v>
      </c>
      <c r="W3620" t="s">
        <v>5042</v>
      </c>
    </row>
    <row r="3621" spans="1:23" x14ac:dyDescent="0.25">
      <c r="H3621" t="s">
        <v>70</v>
      </c>
    </row>
    <row r="3622" spans="1:23" x14ac:dyDescent="0.25">
      <c r="A3622">
        <v>1808</v>
      </c>
      <c r="B3622">
        <v>3092</v>
      </c>
      <c r="C3622" t="s">
        <v>3625</v>
      </c>
      <c r="D3622" t="s">
        <v>5043</v>
      </c>
      <c r="E3622" t="s">
        <v>1350</v>
      </c>
      <c r="F3622" t="s">
        <v>5044</v>
      </c>
      <c r="G3622" t="str">
        <f>"00223998"</f>
        <v>00223998</v>
      </c>
      <c r="H3622" t="s">
        <v>1532</v>
      </c>
      <c r="I3622">
        <v>0</v>
      </c>
      <c r="J3622">
        <v>70</v>
      </c>
      <c r="K3622">
        <v>0</v>
      </c>
      <c r="L3622">
        <v>50</v>
      </c>
      <c r="M3622">
        <v>0</v>
      </c>
      <c r="N3622">
        <v>0</v>
      </c>
      <c r="O3622">
        <v>0</v>
      </c>
      <c r="P3622">
        <v>0</v>
      </c>
      <c r="Q3622">
        <v>0</v>
      </c>
      <c r="R3622">
        <v>0</v>
      </c>
      <c r="S3622">
        <v>0</v>
      </c>
      <c r="T3622">
        <v>0</v>
      </c>
      <c r="V3622">
        <v>0</v>
      </c>
      <c r="W3622" t="s">
        <v>5045</v>
      </c>
    </row>
    <row r="3623" spans="1:23" x14ac:dyDescent="0.25">
      <c r="H3623" t="s">
        <v>26</v>
      </c>
    </row>
    <row r="3624" spans="1:23" x14ac:dyDescent="0.25">
      <c r="A3624">
        <v>1809</v>
      </c>
      <c r="B3624">
        <v>2937</v>
      </c>
      <c r="C3624" t="s">
        <v>5046</v>
      </c>
      <c r="D3624" t="s">
        <v>53</v>
      </c>
      <c r="E3624" t="s">
        <v>109</v>
      </c>
      <c r="F3624" t="s">
        <v>5047</v>
      </c>
      <c r="G3624" t="str">
        <f>"201410009608"</f>
        <v>201410009608</v>
      </c>
      <c r="H3624" t="s">
        <v>299</v>
      </c>
      <c r="I3624">
        <v>0</v>
      </c>
      <c r="J3624">
        <v>0</v>
      </c>
      <c r="K3624">
        <v>0</v>
      </c>
      <c r="L3624">
        <v>0</v>
      </c>
      <c r="M3624">
        <v>0</v>
      </c>
      <c r="N3624">
        <v>0</v>
      </c>
      <c r="O3624">
        <v>0</v>
      </c>
      <c r="P3624">
        <v>0</v>
      </c>
      <c r="Q3624">
        <v>0</v>
      </c>
      <c r="R3624">
        <v>2</v>
      </c>
      <c r="S3624">
        <v>14</v>
      </c>
      <c r="T3624">
        <v>0</v>
      </c>
      <c r="V3624">
        <v>0</v>
      </c>
      <c r="W3624" t="s">
        <v>5048</v>
      </c>
    </row>
    <row r="3625" spans="1:23" x14ac:dyDescent="0.25">
      <c r="H3625" t="s">
        <v>26</v>
      </c>
    </row>
    <row r="3626" spans="1:23" x14ac:dyDescent="0.25">
      <c r="A3626">
        <v>1810</v>
      </c>
      <c r="B3626">
        <v>1174</v>
      </c>
      <c r="C3626" t="s">
        <v>45</v>
      </c>
      <c r="D3626" t="s">
        <v>32</v>
      </c>
      <c r="E3626" t="s">
        <v>91</v>
      </c>
      <c r="F3626" t="s">
        <v>5049</v>
      </c>
      <c r="G3626" t="str">
        <f>"00113708"</f>
        <v>00113708</v>
      </c>
      <c r="H3626">
        <v>979</v>
      </c>
      <c r="I3626">
        <v>0</v>
      </c>
      <c r="J3626">
        <v>70</v>
      </c>
      <c r="K3626">
        <v>0</v>
      </c>
      <c r="L3626">
        <v>0</v>
      </c>
      <c r="M3626">
        <v>0</v>
      </c>
      <c r="N3626">
        <v>0</v>
      </c>
      <c r="O3626">
        <v>0</v>
      </c>
      <c r="P3626">
        <v>0</v>
      </c>
      <c r="Q3626">
        <v>0</v>
      </c>
      <c r="R3626">
        <v>0</v>
      </c>
      <c r="S3626">
        <v>0</v>
      </c>
      <c r="T3626">
        <v>0</v>
      </c>
      <c r="V3626">
        <v>0</v>
      </c>
      <c r="W3626">
        <v>1049</v>
      </c>
    </row>
    <row r="3627" spans="1:23" x14ac:dyDescent="0.25">
      <c r="H3627">
        <v>703</v>
      </c>
    </row>
    <row r="3628" spans="1:23" x14ac:dyDescent="0.25">
      <c r="A3628">
        <v>1811</v>
      </c>
      <c r="B3628">
        <v>2756</v>
      </c>
      <c r="C3628" t="s">
        <v>5050</v>
      </c>
      <c r="D3628" t="s">
        <v>15</v>
      </c>
      <c r="E3628" t="s">
        <v>41</v>
      </c>
      <c r="F3628" t="s">
        <v>5051</v>
      </c>
      <c r="G3628" t="str">
        <f>"00188439"</f>
        <v>00188439</v>
      </c>
      <c r="H3628">
        <v>979</v>
      </c>
      <c r="I3628">
        <v>0</v>
      </c>
      <c r="J3628">
        <v>70</v>
      </c>
      <c r="K3628">
        <v>0</v>
      </c>
      <c r="L3628">
        <v>0</v>
      </c>
      <c r="M3628">
        <v>0</v>
      </c>
      <c r="N3628">
        <v>0</v>
      </c>
      <c r="O3628">
        <v>0</v>
      </c>
      <c r="P3628">
        <v>0</v>
      </c>
      <c r="Q3628">
        <v>0</v>
      </c>
      <c r="R3628">
        <v>0</v>
      </c>
      <c r="S3628">
        <v>0</v>
      </c>
      <c r="T3628">
        <v>0</v>
      </c>
      <c r="V3628">
        <v>0</v>
      </c>
      <c r="W3628">
        <v>1049</v>
      </c>
    </row>
    <row r="3629" spans="1:23" x14ac:dyDescent="0.25">
      <c r="H3629">
        <v>703</v>
      </c>
    </row>
    <row r="3630" spans="1:23" x14ac:dyDescent="0.25">
      <c r="A3630">
        <v>1812</v>
      </c>
      <c r="B3630">
        <v>802</v>
      </c>
      <c r="C3630" t="s">
        <v>5052</v>
      </c>
      <c r="D3630" t="s">
        <v>629</v>
      </c>
      <c r="E3630" t="s">
        <v>47</v>
      </c>
      <c r="F3630" t="s">
        <v>5053</v>
      </c>
      <c r="G3630" t="str">
        <f>"200712003310"</f>
        <v>200712003310</v>
      </c>
      <c r="H3630">
        <v>935</v>
      </c>
      <c r="I3630">
        <v>0</v>
      </c>
      <c r="J3630">
        <v>30</v>
      </c>
      <c r="K3630">
        <v>0</v>
      </c>
      <c r="L3630">
        <v>0</v>
      </c>
      <c r="M3630">
        <v>0</v>
      </c>
      <c r="N3630">
        <v>0</v>
      </c>
      <c r="O3630">
        <v>0</v>
      </c>
      <c r="P3630">
        <v>0</v>
      </c>
      <c r="Q3630">
        <v>0</v>
      </c>
      <c r="R3630">
        <v>12</v>
      </c>
      <c r="S3630">
        <v>84</v>
      </c>
      <c r="T3630">
        <v>0</v>
      </c>
      <c r="V3630">
        <v>0</v>
      </c>
      <c r="W3630">
        <v>1049</v>
      </c>
    </row>
    <row r="3631" spans="1:23" x14ac:dyDescent="0.25">
      <c r="H3631">
        <v>703</v>
      </c>
    </row>
    <row r="3632" spans="1:23" x14ac:dyDescent="0.25">
      <c r="A3632">
        <v>1813</v>
      </c>
      <c r="B3632">
        <v>3091</v>
      </c>
      <c r="C3632" t="s">
        <v>1396</v>
      </c>
      <c r="D3632" t="s">
        <v>293</v>
      </c>
      <c r="E3632" t="s">
        <v>227</v>
      </c>
      <c r="F3632" t="s">
        <v>5054</v>
      </c>
      <c r="G3632" t="str">
        <f>"201511022839"</f>
        <v>201511022839</v>
      </c>
      <c r="H3632">
        <v>869</v>
      </c>
      <c r="I3632">
        <v>150</v>
      </c>
      <c r="J3632">
        <v>30</v>
      </c>
      <c r="K3632">
        <v>0</v>
      </c>
      <c r="L3632">
        <v>0</v>
      </c>
      <c r="M3632">
        <v>0</v>
      </c>
      <c r="N3632">
        <v>0</v>
      </c>
      <c r="O3632">
        <v>0</v>
      </c>
      <c r="P3632">
        <v>0</v>
      </c>
      <c r="Q3632">
        <v>0</v>
      </c>
      <c r="R3632">
        <v>0</v>
      </c>
      <c r="S3632">
        <v>0</v>
      </c>
      <c r="T3632">
        <v>0</v>
      </c>
      <c r="V3632">
        <v>0</v>
      </c>
      <c r="W3632">
        <v>1049</v>
      </c>
    </row>
    <row r="3633" spans="1:23" x14ac:dyDescent="0.25">
      <c r="H3633">
        <v>703</v>
      </c>
    </row>
    <row r="3634" spans="1:23" x14ac:dyDescent="0.25">
      <c r="A3634">
        <v>1814</v>
      </c>
      <c r="B3634">
        <v>1191</v>
      </c>
      <c r="C3634" t="s">
        <v>5055</v>
      </c>
      <c r="D3634" t="s">
        <v>5056</v>
      </c>
      <c r="E3634" t="s">
        <v>947</v>
      </c>
      <c r="F3634" t="s">
        <v>5057</v>
      </c>
      <c r="G3634" t="str">
        <f>"00222413"</f>
        <v>00222413</v>
      </c>
      <c r="H3634">
        <v>803</v>
      </c>
      <c r="I3634">
        <v>0</v>
      </c>
      <c r="J3634">
        <v>50</v>
      </c>
      <c r="K3634">
        <v>0</v>
      </c>
      <c r="L3634">
        <v>0</v>
      </c>
      <c r="M3634">
        <v>0</v>
      </c>
      <c r="N3634">
        <v>0</v>
      </c>
      <c r="O3634">
        <v>0</v>
      </c>
      <c r="P3634">
        <v>0</v>
      </c>
      <c r="Q3634">
        <v>0</v>
      </c>
      <c r="R3634">
        <v>28</v>
      </c>
      <c r="S3634">
        <v>196</v>
      </c>
      <c r="T3634">
        <v>0</v>
      </c>
      <c r="V3634">
        <v>0</v>
      </c>
      <c r="W3634">
        <v>1049</v>
      </c>
    </row>
    <row r="3635" spans="1:23" x14ac:dyDescent="0.25">
      <c r="H3635">
        <v>703</v>
      </c>
    </row>
    <row r="3636" spans="1:23" x14ac:dyDescent="0.25">
      <c r="A3636">
        <v>1815</v>
      </c>
      <c r="B3636">
        <v>461</v>
      </c>
      <c r="C3636" t="s">
        <v>4064</v>
      </c>
      <c r="D3636" t="s">
        <v>4598</v>
      </c>
      <c r="E3636" t="s">
        <v>41</v>
      </c>
      <c r="F3636" t="s">
        <v>5058</v>
      </c>
      <c r="G3636" t="str">
        <f>"201405000311"</f>
        <v>201405000311</v>
      </c>
      <c r="H3636" t="s">
        <v>465</v>
      </c>
      <c r="I3636">
        <v>0</v>
      </c>
      <c r="J3636">
        <v>30</v>
      </c>
      <c r="K3636">
        <v>0</v>
      </c>
      <c r="L3636">
        <v>0</v>
      </c>
      <c r="M3636">
        <v>0</v>
      </c>
      <c r="N3636">
        <v>0</v>
      </c>
      <c r="O3636">
        <v>0</v>
      </c>
      <c r="P3636">
        <v>0</v>
      </c>
      <c r="Q3636">
        <v>0</v>
      </c>
      <c r="R3636">
        <v>8</v>
      </c>
      <c r="S3636">
        <v>56</v>
      </c>
      <c r="T3636">
        <v>0</v>
      </c>
      <c r="V3636">
        <v>1</v>
      </c>
      <c r="W3636" t="s">
        <v>5059</v>
      </c>
    </row>
    <row r="3637" spans="1:23" x14ac:dyDescent="0.25">
      <c r="H3637">
        <v>703</v>
      </c>
    </row>
    <row r="3638" spans="1:23" x14ac:dyDescent="0.25">
      <c r="A3638">
        <v>1816</v>
      </c>
      <c r="B3638">
        <v>2852</v>
      </c>
      <c r="C3638" t="s">
        <v>5060</v>
      </c>
      <c r="D3638" t="s">
        <v>5061</v>
      </c>
      <c r="E3638" t="s">
        <v>91</v>
      </c>
      <c r="F3638" t="s">
        <v>5062</v>
      </c>
      <c r="G3638" t="str">
        <f>"00119082"</f>
        <v>00119082</v>
      </c>
      <c r="H3638" t="s">
        <v>385</v>
      </c>
      <c r="I3638">
        <v>0</v>
      </c>
      <c r="J3638">
        <v>30</v>
      </c>
      <c r="K3638">
        <v>0</v>
      </c>
      <c r="L3638">
        <v>0</v>
      </c>
      <c r="M3638">
        <v>0</v>
      </c>
      <c r="N3638">
        <v>0</v>
      </c>
      <c r="O3638">
        <v>0</v>
      </c>
      <c r="P3638">
        <v>0</v>
      </c>
      <c r="Q3638">
        <v>0</v>
      </c>
      <c r="R3638">
        <v>0</v>
      </c>
      <c r="S3638">
        <v>0</v>
      </c>
      <c r="T3638">
        <v>0</v>
      </c>
      <c r="V3638">
        <v>2</v>
      </c>
      <c r="W3638" t="s">
        <v>5063</v>
      </c>
    </row>
    <row r="3639" spans="1:23" x14ac:dyDescent="0.25">
      <c r="H3639">
        <v>703</v>
      </c>
    </row>
    <row r="3640" spans="1:23" x14ac:dyDescent="0.25">
      <c r="A3640">
        <v>1817</v>
      </c>
      <c r="B3640">
        <v>2986</v>
      </c>
      <c r="C3640" t="s">
        <v>766</v>
      </c>
      <c r="D3640" t="s">
        <v>28</v>
      </c>
      <c r="E3640" t="s">
        <v>109</v>
      </c>
      <c r="F3640" t="s">
        <v>5064</v>
      </c>
      <c r="G3640" t="str">
        <f>"00149503"</f>
        <v>00149503</v>
      </c>
      <c r="H3640" t="s">
        <v>385</v>
      </c>
      <c r="I3640">
        <v>0</v>
      </c>
      <c r="J3640">
        <v>30</v>
      </c>
      <c r="K3640">
        <v>0</v>
      </c>
      <c r="L3640">
        <v>0</v>
      </c>
      <c r="M3640">
        <v>0</v>
      </c>
      <c r="N3640">
        <v>0</v>
      </c>
      <c r="O3640">
        <v>0</v>
      </c>
      <c r="P3640">
        <v>0</v>
      </c>
      <c r="Q3640">
        <v>0</v>
      </c>
      <c r="R3640">
        <v>0</v>
      </c>
      <c r="S3640">
        <v>0</v>
      </c>
      <c r="T3640">
        <v>0</v>
      </c>
      <c r="V3640">
        <v>1</v>
      </c>
      <c r="W3640" t="s">
        <v>5063</v>
      </c>
    </row>
    <row r="3641" spans="1:23" x14ac:dyDescent="0.25">
      <c r="H3641">
        <v>703</v>
      </c>
    </row>
    <row r="3642" spans="1:23" x14ac:dyDescent="0.25">
      <c r="A3642">
        <v>1818</v>
      </c>
      <c r="B3642">
        <v>2857</v>
      </c>
      <c r="C3642" t="s">
        <v>5065</v>
      </c>
      <c r="D3642" t="s">
        <v>293</v>
      </c>
      <c r="E3642" t="s">
        <v>15</v>
      </c>
      <c r="F3642" t="s">
        <v>5066</v>
      </c>
      <c r="G3642" t="str">
        <f>"00207188"</f>
        <v>00207188</v>
      </c>
      <c r="H3642">
        <v>935</v>
      </c>
      <c r="I3642">
        <v>0</v>
      </c>
      <c r="J3642">
        <v>0</v>
      </c>
      <c r="K3642">
        <v>0</v>
      </c>
      <c r="L3642">
        <v>0</v>
      </c>
      <c r="M3642">
        <v>0</v>
      </c>
      <c r="N3642">
        <v>0</v>
      </c>
      <c r="O3642">
        <v>0</v>
      </c>
      <c r="P3642">
        <v>0</v>
      </c>
      <c r="Q3642">
        <v>0</v>
      </c>
      <c r="R3642">
        <v>16</v>
      </c>
      <c r="S3642">
        <v>112</v>
      </c>
      <c r="T3642">
        <v>0</v>
      </c>
      <c r="V3642">
        <v>0</v>
      </c>
      <c r="W3642">
        <v>1047</v>
      </c>
    </row>
    <row r="3643" spans="1:23" x14ac:dyDescent="0.25">
      <c r="H3643">
        <v>703</v>
      </c>
    </row>
    <row r="3644" spans="1:23" x14ac:dyDescent="0.25">
      <c r="A3644">
        <v>1819</v>
      </c>
      <c r="B3644">
        <v>131</v>
      </c>
      <c r="C3644" t="s">
        <v>5067</v>
      </c>
      <c r="D3644" t="s">
        <v>185</v>
      </c>
      <c r="E3644" t="s">
        <v>424</v>
      </c>
      <c r="F3644" t="s">
        <v>5068</v>
      </c>
      <c r="G3644" t="str">
        <f>"00105531"</f>
        <v>00105531</v>
      </c>
      <c r="H3644">
        <v>847</v>
      </c>
      <c r="I3644">
        <v>150</v>
      </c>
      <c r="J3644">
        <v>50</v>
      </c>
      <c r="K3644">
        <v>0</v>
      </c>
      <c r="L3644">
        <v>0</v>
      </c>
      <c r="M3644">
        <v>0</v>
      </c>
      <c r="N3644">
        <v>0</v>
      </c>
      <c r="O3644">
        <v>0</v>
      </c>
      <c r="P3644">
        <v>0</v>
      </c>
      <c r="Q3644">
        <v>0</v>
      </c>
      <c r="R3644">
        <v>0</v>
      </c>
      <c r="S3644">
        <v>0</v>
      </c>
      <c r="T3644">
        <v>0</v>
      </c>
      <c r="V3644">
        <v>0</v>
      </c>
      <c r="W3644">
        <v>1047</v>
      </c>
    </row>
    <row r="3645" spans="1:23" x14ac:dyDescent="0.25">
      <c r="H3645">
        <v>703</v>
      </c>
    </row>
    <row r="3646" spans="1:23" x14ac:dyDescent="0.25">
      <c r="A3646">
        <v>1820</v>
      </c>
      <c r="B3646">
        <v>1167</v>
      </c>
      <c r="C3646" t="s">
        <v>5038</v>
      </c>
      <c r="D3646" t="s">
        <v>21</v>
      </c>
      <c r="E3646" t="s">
        <v>99</v>
      </c>
      <c r="F3646" t="s">
        <v>5069</v>
      </c>
      <c r="G3646" t="str">
        <f>"00144970"</f>
        <v>00144970</v>
      </c>
      <c r="H3646">
        <v>825</v>
      </c>
      <c r="I3646">
        <v>150</v>
      </c>
      <c r="J3646">
        <v>30</v>
      </c>
      <c r="K3646">
        <v>0</v>
      </c>
      <c r="L3646">
        <v>0</v>
      </c>
      <c r="M3646">
        <v>0</v>
      </c>
      <c r="N3646">
        <v>0</v>
      </c>
      <c r="O3646">
        <v>0</v>
      </c>
      <c r="P3646">
        <v>0</v>
      </c>
      <c r="Q3646">
        <v>0</v>
      </c>
      <c r="R3646">
        <v>6</v>
      </c>
      <c r="S3646">
        <v>42</v>
      </c>
      <c r="T3646">
        <v>0</v>
      </c>
      <c r="V3646">
        <v>0</v>
      </c>
      <c r="W3646">
        <v>1047</v>
      </c>
    </row>
    <row r="3647" spans="1:23" x14ac:dyDescent="0.25">
      <c r="H3647">
        <v>703</v>
      </c>
    </row>
    <row r="3648" spans="1:23" x14ac:dyDescent="0.25">
      <c r="A3648">
        <v>1821</v>
      </c>
      <c r="B3648">
        <v>2945</v>
      </c>
      <c r="C3648" t="s">
        <v>5070</v>
      </c>
      <c r="D3648" t="s">
        <v>58</v>
      </c>
      <c r="E3648" t="s">
        <v>76</v>
      </c>
      <c r="F3648" t="s">
        <v>5071</v>
      </c>
      <c r="G3648" t="str">
        <f>"201511040919"</f>
        <v>201511040919</v>
      </c>
      <c r="H3648">
        <v>968</v>
      </c>
      <c r="I3648">
        <v>0</v>
      </c>
      <c r="J3648">
        <v>50</v>
      </c>
      <c r="K3648">
        <v>0</v>
      </c>
      <c r="L3648">
        <v>0</v>
      </c>
      <c r="M3648">
        <v>0</v>
      </c>
      <c r="N3648">
        <v>0</v>
      </c>
      <c r="O3648">
        <v>0</v>
      </c>
      <c r="P3648">
        <v>0</v>
      </c>
      <c r="Q3648">
        <v>0</v>
      </c>
      <c r="R3648">
        <v>4</v>
      </c>
      <c r="S3648">
        <v>28</v>
      </c>
      <c r="T3648">
        <v>0</v>
      </c>
      <c r="V3648">
        <v>0</v>
      </c>
      <c r="W3648">
        <v>1046</v>
      </c>
    </row>
    <row r="3649" spans="1:23" x14ac:dyDescent="0.25">
      <c r="H3649">
        <v>703</v>
      </c>
    </row>
    <row r="3650" spans="1:23" x14ac:dyDescent="0.25">
      <c r="A3650">
        <v>1822</v>
      </c>
      <c r="B3650">
        <v>508</v>
      </c>
      <c r="C3650" t="s">
        <v>5072</v>
      </c>
      <c r="D3650" t="s">
        <v>273</v>
      </c>
      <c r="E3650" t="s">
        <v>62</v>
      </c>
      <c r="F3650" t="s">
        <v>5073</v>
      </c>
      <c r="G3650" t="str">
        <f>"00224923"</f>
        <v>00224923</v>
      </c>
      <c r="H3650">
        <v>946</v>
      </c>
      <c r="I3650">
        <v>0</v>
      </c>
      <c r="J3650">
        <v>30</v>
      </c>
      <c r="K3650">
        <v>0</v>
      </c>
      <c r="L3650">
        <v>0</v>
      </c>
      <c r="M3650">
        <v>70</v>
      </c>
      <c r="N3650">
        <v>0</v>
      </c>
      <c r="O3650">
        <v>0</v>
      </c>
      <c r="P3650">
        <v>0</v>
      </c>
      <c r="Q3650">
        <v>0</v>
      </c>
      <c r="R3650">
        <v>0</v>
      </c>
      <c r="S3650">
        <v>0</v>
      </c>
      <c r="T3650">
        <v>0</v>
      </c>
      <c r="V3650">
        <v>0</v>
      </c>
      <c r="W3650">
        <v>1046</v>
      </c>
    </row>
    <row r="3651" spans="1:23" x14ac:dyDescent="0.25">
      <c r="H3651" t="s">
        <v>26</v>
      </c>
    </row>
    <row r="3652" spans="1:23" x14ac:dyDescent="0.25">
      <c r="A3652">
        <v>1823</v>
      </c>
      <c r="B3652">
        <v>185</v>
      </c>
      <c r="C3652" t="s">
        <v>5074</v>
      </c>
      <c r="D3652" t="s">
        <v>91</v>
      </c>
      <c r="E3652" t="s">
        <v>1440</v>
      </c>
      <c r="F3652" t="s">
        <v>5075</v>
      </c>
      <c r="G3652" t="str">
        <f>"201507003794"</f>
        <v>201507003794</v>
      </c>
      <c r="H3652" t="s">
        <v>5076</v>
      </c>
      <c r="I3652">
        <v>150</v>
      </c>
      <c r="J3652">
        <v>0</v>
      </c>
      <c r="K3652">
        <v>0</v>
      </c>
      <c r="L3652">
        <v>0</v>
      </c>
      <c r="M3652">
        <v>0</v>
      </c>
      <c r="N3652">
        <v>0</v>
      </c>
      <c r="O3652">
        <v>0</v>
      </c>
      <c r="P3652">
        <v>0</v>
      </c>
      <c r="Q3652">
        <v>0</v>
      </c>
      <c r="R3652">
        <v>15</v>
      </c>
      <c r="S3652">
        <v>105</v>
      </c>
      <c r="T3652">
        <v>0</v>
      </c>
      <c r="V3652">
        <v>1</v>
      </c>
      <c r="W3652" t="s">
        <v>5077</v>
      </c>
    </row>
    <row r="3653" spans="1:23" x14ac:dyDescent="0.25">
      <c r="H3653">
        <v>703</v>
      </c>
    </row>
    <row r="3654" spans="1:23" x14ac:dyDescent="0.25">
      <c r="A3654">
        <v>1824</v>
      </c>
      <c r="B3654">
        <v>416</v>
      </c>
      <c r="C3654" t="s">
        <v>5078</v>
      </c>
      <c r="D3654" t="s">
        <v>219</v>
      </c>
      <c r="E3654" t="s">
        <v>607</v>
      </c>
      <c r="F3654" t="s">
        <v>5079</v>
      </c>
      <c r="G3654" t="str">
        <f>"00107309"</f>
        <v>00107309</v>
      </c>
      <c r="H3654" t="s">
        <v>495</v>
      </c>
      <c r="I3654">
        <v>0</v>
      </c>
      <c r="J3654">
        <v>0</v>
      </c>
      <c r="K3654">
        <v>0</v>
      </c>
      <c r="L3654">
        <v>0</v>
      </c>
      <c r="M3654">
        <v>0</v>
      </c>
      <c r="N3654">
        <v>0</v>
      </c>
      <c r="O3654">
        <v>0</v>
      </c>
      <c r="P3654">
        <v>0</v>
      </c>
      <c r="Q3654">
        <v>0</v>
      </c>
      <c r="R3654">
        <v>13</v>
      </c>
      <c r="S3654">
        <v>91</v>
      </c>
      <c r="T3654">
        <v>0</v>
      </c>
      <c r="V3654">
        <v>0</v>
      </c>
      <c r="W3654" t="s">
        <v>5080</v>
      </c>
    </row>
    <row r="3655" spans="1:23" x14ac:dyDescent="0.25">
      <c r="H3655">
        <v>703</v>
      </c>
    </row>
    <row r="3656" spans="1:23" x14ac:dyDescent="0.25">
      <c r="A3656">
        <v>1825</v>
      </c>
      <c r="B3656">
        <v>2786</v>
      </c>
      <c r="C3656" t="s">
        <v>4054</v>
      </c>
      <c r="D3656" t="s">
        <v>40</v>
      </c>
      <c r="E3656" t="s">
        <v>53</v>
      </c>
      <c r="F3656" t="s">
        <v>5081</v>
      </c>
      <c r="G3656" t="str">
        <f>"201304001246"</f>
        <v>201304001246</v>
      </c>
      <c r="H3656" t="s">
        <v>5082</v>
      </c>
      <c r="I3656">
        <v>0</v>
      </c>
      <c r="J3656">
        <v>30</v>
      </c>
      <c r="K3656">
        <v>0</v>
      </c>
      <c r="L3656">
        <v>0</v>
      </c>
      <c r="M3656">
        <v>0</v>
      </c>
      <c r="N3656">
        <v>0</v>
      </c>
      <c r="O3656">
        <v>0</v>
      </c>
      <c r="P3656">
        <v>0</v>
      </c>
      <c r="Q3656">
        <v>0</v>
      </c>
      <c r="R3656">
        <v>50</v>
      </c>
      <c r="S3656">
        <v>350</v>
      </c>
      <c r="T3656">
        <v>0</v>
      </c>
      <c r="V3656">
        <v>1</v>
      </c>
      <c r="W3656" t="s">
        <v>5083</v>
      </c>
    </row>
    <row r="3657" spans="1:23" x14ac:dyDescent="0.25">
      <c r="H3657">
        <v>703</v>
      </c>
    </row>
    <row r="3658" spans="1:23" x14ac:dyDescent="0.25">
      <c r="A3658">
        <v>1826</v>
      </c>
      <c r="B3658">
        <v>1286</v>
      </c>
      <c r="C3658" t="s">
        <v>5084</v>
      </c>
      <c r="D3658" t="s">
        <v>2723</v>
      </c>
      <c r="E3658" t="s">
        <v>752</v>
      </c>
      <c r="F3658" t="s">
        <v>5085</v>
      </c>
      <c r="G3658" t="str">
        <f>"00200396"</f>
        <v>00200396</v>
      </c>
      <c r="H3658" t="s">
        <v>1241</v>
      </c>
      <c r="I3658">
        <v>0</v>
      </c>
      <c r="J3658">
        <v>0</v>
      </c>
      <c r="K3658">
        <v>0</v>
      </c>
      <c r="L3658">
        <v>0</v>
      </c>
      <c r="M3658">
        <v>0</v>
      </c>
      <c r="N3658">
        <v>0</v>
      </c>
      <c r="O3658">
        <v>0</v>
      </c>
      <c r="P3658">
        <v>0</v>
      </c>
      <c r="Q3658">
        <v>0</v>
      </c>
      <c r="R3658">
        <v>23</v>
      </c>
      <c r="S3658">
        <v>161</v>
      </c>
      <c r="T3658">
        <v>0</v>
      </c>
      <c r="V3658">
        <v>0</v>
      </c>
      <c r="W3658" t="s">
        <v>5086</v>
      </c>
    </row>
    <row r="3659" spans="1:23" x14ac:dyDescent="0.25">
      <c r="H3659">
        <v>703</v>
      </c>
    </row>
    <row r="3660" spans="1:23" x14ac:dyDescent="0.25">
      <c r="A3660">
        <v>1827</v>
      </c>
      <c r="B3660">
        <v>1226</v>
      </c>
      <c r="C3660" t="s">
        <v>5087</v>
      </c>
      <c r="D3660" t="s">
        <v>432</v>
      </c>
      <c r="E3660" t="s">
        <v>109</v>
      </c>
      <c r="F3660" t="s">
        <v>5088</v>
      </c>
      <c r="G3660" t="str">
        <f>"00222314"</f>
        <v>00222314</v>
      </c>
      <c r="H3660">
        <v>1045</v>
      </c>
      <c r="I3660">
        <v>0</v>
      </c>
      <c r="J3660">
        <v>0</v>
      </c>
      <c r="K3660">
        <v>0</v>
      </c>
      <c r="L3660">
        <v>0</v>
      </c>
      <c r="M3660">
        <v>0</v>
      </c>
      <c r="N3660">
        <v>0</v>
      </c>
      <c r="O3660">
        <v>0</v>
      </c>
      <c r="P3660">
        <v>0</v>
      </c>
      <c r="Q3660">
        <v>0</v>
      </c>
      <c r="R3660">
        <v>0</v>
      </c>
      <c r="S3660">
        <v>0</v>
      </c>
      <c r="T3660">
        <v>0</v>
      </c>
      <c r="V3660">
        <v>0</v>
      </c>
      <c r="W3660">
        <v>1045</v>
      </c>
    </row>
    <row r="3661" spans="1:23" x14ac:dyDescent="0.25">
      <c r="H3661">
        <v>703</v>
      </c>
    </row>
    <row r="3662" spans="1:23" x14ac:dyDescent="0.25">
      <c r="A3662">
        <v>1828</v>
      </c>
      <c r="B3662">
        <v>220</v>
      </c>
      <c r="C3662" t="s">
        <v>5089</v>
      </c>
      <c r="D3662" t="s">
        <v>46</v>
      </c>
      <c r="E3662" t="s">
        <v>105</v>
      </c>
      <c r="F3662" t="s">
        <v>5090</v>
      </c>
      <c r="G3662" t="str">
        <f>"200802007564"</f>
        <v>200802007564</v>
      </c>
      <c r="H3662">
        <v>924</v>
      </c>
      <c r="I3662">
        <v>0</v>
      </c>
      <c r="J3662">
        <v>30</v>
      </c>
      <c r="K3662">
        <v>0</v>
      </c>
      <c r="L3662">
        <v>0</v>
      </c>
      <c r="M3662">
        <v>0</v>
      </c>
      <c r="N3662">
        <v>0</v>
      </c>
      <c r="O3662">
        <v>0</v>
      </c>
      <c r="P3662">
        <v>0</v>
      </c>
      <c r="Q3662">
        <v>0</v>
      </c>
      <c r="R3662">
        <v>13</v>
      </c>
      <c r="S3662">
        <v>91</v>
      </c>
      <c r="T3662">
        <v>0</v>
      </c>
      <c r="V3662">
        <v>0</v>
      </c>
      <c r="W3662">
        <v>1045</v>
      </c>
    </row>
    <row r="3663" spans="1:23" x14ac:dyDescent="0.25">
      <c r="H3663">
        <v>703</v>
      </c>
    </row>
    <row r="3664" spans="1:23" x14ac:dyDescent="0.25">
      <c r="A3664">
        <v>1829</v>
      </c>
      <c r="B3664">
        <v>2960</v>
      </c>
      <c r="C3664" t="s">
        <v>2397</v>
      </c>
      <c r="D3664" t="s">
        <v>67</v>
      </c>
      <c r="E3664" t="s">
        <v>79</v>
      </c>
      <c r="F3664" t="s">
        <v>5091</v>
      </c>
      <c r="G3664" t="str">
        <f>"201406017649"</f>
        <v>201406017649</v>
      </c>
      <c r="H3664">
        <v>583</v>
      </c>
      <c r="I3664">
        <v>150</v>
      </c>
      <c r="J3664">
        <v>70</v>
      </c>
      <c r="K3664">
        <v>0</v>
      </c>
      <c r="L3664">
        <v>30</v>
      </c>
      <c r="M3664">
        <v>0</v>
      </c>
      <c r="N3664">
        <v>30</v>
      </c>
      <c r="O3664">
        <v>0</v>
      </c>
      <c r="P3664">
        <v>0</v>
      </c>
      <c r="Q3664">
        <v>0</v>
      </c>
      <c r="R3664">
        <v>26</v>
      </c>
      <c r="S3664">
        <v>182</v>
      </c>
      <c r="T3664">
        <v>0</v>
      </c>
      <c r="V3664">
        <v>0</v>
      </c>
      <c r="W3664">
        <v>1045</v>
      </c>
    </row>
    <row r="3665" spans="1:23" x14ac:dyDescent="0.25">
      <c r="H3665" t="s">
        <v>70</v>
      </c>
    </row>
    <row r="3666" spans="1:23" x14ac:dyDescent="0.25">
      <c r="A3666">
        <v>1830</v>
      </c>
      <c r="B3666">
        <v>2266</v>
      </c>
      <c r="C3666" t="s">
        <v>5092</v>
      </c>
      <c r="D3666" t="s">
        <v>610</v>
      </c>
      <c r="E3666" t="s">
        <v>227</v>
      </c>
      <c r="F3666" t="s">
        <v>5093</v>
      </c>
      <c r="G3666" t="str">
        <f>"201405000720"</f>
        <v>201405000720</v>
      </c>
      <c r="H3666" t="s">
        <v>217</v>
      </c>
      <c r="I3666">
        <v>0</v>
      </c>
      <c r="J3666">
        <v>30</v>
      </c>
      <c r="K3666">
        <v>0</v>
      </c>
      <c r="L3666">
        <v>0</v>
      </c>
      <c r="M3666">
        <v>0</v>
      </c>
      <c r="N3666">
        <v>0</v>
      </c>
      <c r="O3666">
        <v>0</v>
      </c>
      <c r="P3666">
        <v>0</v>
      </c>
      <c r="Q3666">
        <v>0</v>
      </c>
      <c r="R3666">
        <v>9</v>
      </c>
      <c r="S3666">
        <v>63</v>
      </c>
      <c r="T3666">
        <v>0</v>
      </c>
      <c r="V3666">
        <v>0</v>
      </c>
      <c r="W3666" t="s">
        <v>5094</v>
      </c>
    </row>
    <row r="3667" spans="1:23" x14ac:dyDescent="0.25">
      <c r="H3667">
        <v>703</v>
      </c>
    </row>
    <row r="3668" spans="1:23" x14ac:dyDescent="0.25">
      <c r="A3668">
        <v>1831</v>
      </c>
      <c r="B3668">
        <v>1953</v>
      </c>
      <c r="C3668" t="s">
        <v>5095</v>
      </c>
      <c r="D3668" t="s">
        <v>350</v>
      </c>
      <c r="E3668" t="s">
        <v>227</v>
      </c>
      <c r="F3668" t="s">
        <v>5096</v>
      </c>
      <c r="G3668" t="str">
        <f>"201406001680"</f>
        <v>201406001680</v>
      </c>
      <c r="H3668">
        <v>979</v>
      </c>
      <c r="I3668">
        <v>0</v>
      </c>
      <c r="J3668">
        <v>30</v>
      </c>
      <c r="K3668">
        <v>0</v>
      </c>
      <c r="L3668">
        <v>0</v>
      </c>
      <c r="M3668">
        <v>0</v>
      </c>
      <c r="N3668">
        <v>0</v>
      </c>
      <c r="O3668">
        <v>0</v>
      </c>
      <c r="P3668">
        <v>0</v>
      </c>
      <c r="Q3668">
        <v>0</v>
      </c>
      <c r="R3668">
        <v>5</v>
      </c>
      <c r="S3668">
        <v>35</v>
      </c>
      <c r="T3668">
        <v>0</v>
      </c>
      <c r="V3668">
        <v>0</v>
      </c>
      <c r="W3668">
        <v>1044</v>
      </c>
    </row>
    <row r="3669" spans="1:23" x14ac:dyDescent="0.25">
      <c r="H3669">
        <v>703</v>
      </c>
    </row>
    <row r="3670" spans="1:23" x14ac:dyDescent="0.25">
      <c r="A3670">
        <v>1832</v>
      </c>
      <c r="B3670">
        <v>3073</v>
      </c>
      <c r="C3670" t="s">
        <v>431</v>
      </c>
      <c r="D3670" t="s">
        <v>185</v>
      </c>
      <c r="E3670" t="s">
        <v>91</v>
      </c>
      <c r="F3670" t="s">
        <v>5097</v>
      </c>
      <c r="G3670" t="str">
        <f>"201406015172"</f>
        <v>201406015172</v>
      </c>
      <c r="H3670">
        <v>715</v>
      </c>
      <c r="I3670">
        <v>0</v>
      </c>
      <c r="J3670">
        <v>0</v>
      </c>
      <c r="K3670">
        <v>0</v>
      </c>
      <c r="L3670">
        <v>0</v>
      </c>
      <c r="M3670">
        <v>0</v>
      </c>
      <c r="N3670">
        <v>0</v>
      </c>
      <c r="O3670">
        <v>0</v>
      </c>
      <c r="P3670">
        <v>0</v>
      </c>
      <c r="Q3670">
        <v>0</v>
      </c>
      <c r="R3670">
        <v>47</v>
      </c>
      <c r="S3670">
        <v>329</v>
      </c>
      <c r="T3670">
        <v>0</v>
      </c>
      <c r="V3670">
        <v>0</v>
      </c>
      <c r="W3670">
        <v>1044</v>
      </c>
    </row>
    <row r="3671" spans="1:23" x14ac:dyDescent="0.25">
      <c r="H3671">
        <v>703</v>
      </c>
    </row>
    <row r="3672" spans="1:23" x14ac:dyDescent="0.25">
      <c r="A3672">
        <v>1833</v>
      </c>
      <c r="B3672">
        <v>1606</v>
      </c>
      <c r="C3672" t="s">
        <v>4334</v>
      </c>
      <c r="D3672" t="s">
        <v>32</v>
      </c>
      <c r="E3672" t="s">
        <v>109</v>
      </c>
      <c r="F3672" t="s">
        <v>5098</v>
      </c>
      <c r="G3672" t="str">
        <f>"200802007122"</f>
        <v>200802007122</v>
      </c>
      <c r="H3672">
        <v>605</v>
      </c>
      <c r="I3672">
        <v>150</v>
      </c>
      <c r="J3672">
        <v>30</v>
      </c>
      <c r="K3672">
        <v>0</v>
      </c>
      <c r="L3672">
        <v>0</v>
      </c>
      <c r="M3672">
        <v>0</v>
      </c>
      <c r="N3672">
        <v>0</v>
      </c>
      <c r="O3672">
        <v>0</v>
      </c>
      <c r="P3672">
        <v>0</v>
      </c>
      <c r="Q3672">
        <v>0</v>
      </c>
      <c r="R3672">
        <v>37</v>
      </c>
      <c r="S3672">
        <v>259</v>
      </c>
      <c r="T3672">
        <v>0</v>
      </c>
      <c r="V3672">
        <v>0</v>
      </c>
      <c r="W3672">
        <v>1044</v>
      </c>
    </row>
    <row r="3673" spans="1:23" x14ac:dyDescent="0.25">
      <c r="H3673" t="s">
        <v>26</v>
      </c>
    </row>
    <row r="3674" spans="1:23" x14ac:dyDescent="0.25">
      <c r="A3674">
        <v>1834</v>
      </c>
      <c r="B3674">
        <v>517</v>
      </c>
      <c r="C3674" t="s">
        <v>5099</v>
      </c>
      <c r="D3674" t="s">
        <v>3892</v>
      </c>
      <c r="E3674" t="s">
        <v>5100</v>
      </c>
      <c r="F3674" t="s">
        <v>5101</v>
      </c>
      <c r="G3674" t="str">
        <f>"00196597"</f>
        <v>00196597</v>
      </c>
      <c r="H3674" t="s">
        <v>458</v>
      </c>
      <c r="I3674">
        <v>0</v>
      </c>
      <c r="J3674">
        <v>70</v>
      </c>
      <c r="K3674">
        <v>0</v>
      </c>
      <c r="L3674">
        <v>0</v>
      </c>
      <c r="M3674">
        <v>0</v>
      </c>
      <c r="N3674">
        <v>0</v>
      </c>
      <c r="O3674">
        <v>0</v>
      </c>
      <c r="P3674">
        <v>0</v>
      </c>
      <c r="Q3674">
        <v>0</v>
      </c>
      <c r="R3674">
        <v>0</v>
      </c>
      <c r="S3674">
        <v>0</v>
      </c>
      <c r="T3674">
        <v>0</v>
      </c>
      <c r="V3674">
        <v>0</v>
      </c>
      <c r="W3674" t="s">
        <v>5102</v>
      </c>
    </row>
    <row r="3675" spans="1:23" x14ac:dyDescent="0.25">
      <c r="H3675" t="s">
        <v>26</v>
      </c>
    </row>
    <row r="3676" spans="1:23" x14ac:dyDescent="0.25">
      <c r="A3676">
        <v>1835</v>
      </c>
      <c r="B3676">
        <v>2718</v>
      </c>
      <c r="C3676" t="s">
        <v>5103</v>
      </c>
      <c r="D3676" t="s">
        <v>2336</v>
      </c>
      <c r="E3676" t="s">
        <v>21</v>
      </c>
      <c r="F3676" t="s">
        <v>5104</v>
      </c>
      <c r="G3676" t="str">
        <f>"00109164"</f>
        <v>00109164</v>
      </c>
      <c r="H3676" t="s">
        <v>1514</v>
      </c>
      <c r="I3676">
        <v>150</v>
      </c>
      <c r="J3676">
        <v>0</v>
      </c>
      <c r="K3676">
        <v>0</v>
      </c>
      <c r="L3676">
        <v>0</v>
      </c>
      <c r="M3676">
        <v>0</v>
      </c>
      <c r="N3676">
        <v>0</v>
      </c>
      <c r="O3676">
        <v>0</v>
      </c>
      <c r="P3676">
        <v>0</v>
      </c>
      <c r="Q3676">
        <v>0</v>
      </c>
      <c r="R3676">
        <v>9</v>
      </c>
      <c r="S3676">
        <v>63</v>
      </c>
      <c r="T3676">
        <v>0</v>
      </c>
      <c r="V3676">
        <v>1</v>
      </c>
      <c r="W3676" t="s">
        <v>5102</v>
      </c>
    </row>
    <row r="3677" spans="1:23" x14ac:dyDescent="0.25">
      <c r="H3677">
        <v>703</v>
      </c>
    </row>
    <row r="3678" spans="1:23" x14ac:dyDescent="0.25">
      <c r="A3678">
        <v>1836</v>
      </c>
      <c r="B3678">
        <v>2217</v>
      </c>
      <c r="C3678" t="s">
        <v>4472</v>
      </c>
      <c r="D3678" t="s">
        <v>5105</v>
      </c>
      <c r="E3678" t="s">
        <v>24</v>
      </c>
      <c r="F3678" t="s">
        <v>5106</v>
      </c>
      <c r="G3678" t="str">
        <f>"00229837"</f>
        <v>00229837</v>
      </c>
      <c r="H3678">
        <v>1012</v>
      </c>
      <c r="I3678">
        <v>0</v>
      </c>
      <c r="J3678">
        <v>30</v>
      </c>
      <c r="K3678">
        <v>0</v>
      </c>
      <c r="L3678">
        <v>0</v>
      </c>
      <c r="M3678">
        <v>0</v>
      </c>
      <c r="N3678">
        <v>0</v>
      </c>
      <c r="O3678">
        <v>0</v>
      </c>
      <c r="P3678">
        <v>0</v>
      </c>
      <c r="Q3678">
        <v>0</v>
      </c>
      <c r="R3678">
        <v>0</v>
      </c>
      <c r="S3678">
        <v>0</v>
      </c>
      <c r="T3678">
        <v>0</v>
      </c>
      <c r="V3678">
        <v>0</v>
      </c>
      <c r="W3678">
        <v>1042</v>
      </c>
    </row>
    <row r="3679" spans="1:23" x14ac:dyDescent="0.25">
      <c r="H3679">
        <v>703</v>
      </c>
    </row>
    <row r="3680" spans="1:23" x14ac:dyDescent="0.25">
      <c r="A3680">
        <v>1837</v>
      </c>
      <c r="B3680">
        <v>1920</v>
      </c>
      <c r="C3680" t="s">
        <v>5107</v>
      </c>
      <c r="D3680" t="s">
        <v>1071</v>
      </c>
      <c r="E3680" t="s">
        <v>113</v>
      </c>
      <c r="F3680" t="s">
        <v>5108</v>
      </c>
      <c r="G3680" t="str">
        <f>"00229577"</f>
        <v>00229577</v>
      </c>
      <c r="H3680">
        <v>1012</v>
      </c>
      <c r="I3680">
        <v>0</v>
      </c>
      <c r="J3680">
        <v>30</v>
      </c>
      <c r="K3680">
        <v>0</v>
      </c>
      <c r="L3680">
        <v>0</v>
      </c>
      <c r="M3680">
        <v>0</v>
      </c>
      <c r="N3680">
        <v>0</v>
      </c>
      <c r="O3680">
        <v>0</v>
      </c>
      <c r="P3680">
        <v>0</v>
      </c>
      <c r="Q3680">
        <v>0</v>
      </c>
      <c r="R3680">
        <v>0</v>
      </c>
      <c r="S3680">
        <v>0</v>
      </c>
      <c r="T3680">
        <v>0</v>
      </c>
      <c r="V3680">
        <v>1</v>
      </c>
      <c r="W3680">
        <v>1042</v>
      </c>
    </row>
    <row r="3681" spans="1:23" x14ac:dyDescent="0.25">
      <c r="H3681" t="s">
        <v>26</v>
      </c>
    </row>
    <row r="3682" spans="1:23" x14ac:dyDescent="0.25">
      <c r="A3682">
        <v>1838</v>
      </c>
      <c r="B3682">
        <v>981</v>
      </c>
      <c r="C3682" t="s">
        <v>5109</v>
      </c>
      <c r="D3682" t="s">
        <v>40</v>
      </c>
      <c r="E3682" t="s">
        <v>53</v>
      </c>
      <c r="F3682" t="s">
        <v>5110</v>
      </c>
      <c r="G3682" t="str">
        <f>"200911000540"</f>
        <v>200911000540</v>
      </c>
      <c r="H3682" t="s">
        <v>5111</v>
      </c>
      <c r="I3682">
        <v>0</v>
      </c>
      <c r="J3682">
        <v>0</v>
      </c>
      <c r="K3682">
        <v>0</v>
      </c>
      <c r="L3682">
        <v>0</v>
      </c>
      <c r="M3682">
        <v>0</v>
      </c>
      <c r="N3682">
        <v>0</v>
      </c>
      <c r="O3682">
        <v>0</v>
      </c>
      <c r="P3682">
        <v>0</v>
      </c>
      <c r="Q3682">
        <v>0</v>
      </c>
      <c r="R3682">
        <v>0</v>
      </c>
      <c r="S3682">
        <v>0</v>
      </c>
      <c r="T3682">
        <v>0</v>
      </c>
      <c r="V3682">
        <v>0</v>
      </c>
      <c r="W3682" t="s">
        <v>5111</v>
      </c>
    </row>
    <row r="3683" spans="1:23" x14ac:dyDescent="0.25">
      <c r="H3683">
        <v>703</v>
      </c>
    </row>
    <row r="3684" spans="1:23" x14ac:dyDescent="0.25">
      <c r="A3684">
        <v>1839</v>
      </c>
      <c r="B3684">
        <v>1750</v>
      </c>
      <c r="C3684" t="s">
        <v>1175</v>
      </c>
      <c r="D3684" t="s">
        <v>140</v>
      </c>
      <c r="E3684" t="s">
        <v>91</v>
      </c>
      <c r="F3684" t="s">
        <v>5112</v>
      </c>
      <c r="G3684" t="str">
        <f>"201411003011"</f>
        <v>201411003011</v>
      </c>
      <c r="H3684">
        <v>770</v>
      </c>
      <c r="I3684">
        <v>150</v>
      </c>
      <c r="J3684">
        <v>30</v>
      </c>
      <c r="K3684">
        <v>0</v>
      </c>
      <c r="L3684">
        <v>0</v>
      </c>
      <c r="M3684">
        <v>0</v>
      </c>
      <c r="N3684">
        <v>0</v>
      </c>
      <c r="O3684">
        <v>0</v>
      </c>
      <c r="P3684">
        <v>0</v>
      </c>
      <c r="Q3684">
        <v>0</v>
      </c>
      <c r="R3684">
        <v>13</v>
      </c>
      <c r="S3684">
        <v>91</v>
      </c>
      <c r="T3684">
        <v>0</v>
      </c>
      <c r="V3684">
        <v>0</v>
      </c>
      <c r="W3684">
        <v>1041</v>
      </c>
    </row>
    <row r="3685" spans="1:23" x14ac:dyDescent="0.25">
      <c r="H3685">
        <v>703</v>
      </c>
    </row>
    <row r="3686" spans="1:23" x14ac:dyDescent="0.25">
      <c r="A3686">
        <v>1840</v>
      </c>
      <c r="B3686">
        <v>451</v>
      </c>
      <c r="C3686" t="s">
        <v>5113</v>
      </c>
      <c r="D3686" t="s">
        <v>273</v>
      </c>
      <c r="E3686" t="s">
        <v>37</v>
      </c>
      <c r="F3686" t="s">
        <v>5114</v>
      </c>
      <c r="G3686" t="str">
        <f>"201511004803"</f>
        <v>201511004803</v>
      </c>
      <c r="H3686" t="s">
        <v>531</v>
      </c>
      <c r="I3686">
        <v>0</v>
      </c>
      <c r="J3686">
        <v>30</v>
      </c>
      <c r="K3686">
        <v>0</v>
      </c>
      <c r="L3686">
        <v>0</v>
      </c>
      <c r="M3686">
        <v>0</v>
      </c>
      <c r="N3686">
        <v>0</v>
      </c>
      <c r="O3686">
        <v>0</v>
      </c>
      <c r="P3686">
        <v>0</v>
      </c>
      <c r="Q3686">
        <v>0</v>
      </c>
      <c r="R3686">
        <v>10</v>
      </c>
      <c r="S3686">
        <v>70</v>
      </c>
      <c r="T3686">
        <v>0</v>
      </c>
      <c r="V3686">
        <v>0</v>
      </c>
      <c r="W3686" t="s">
        <v>5115</v>
      </c>
    </row>
    <row r="3687" spans="1:23" x14ac:dyDescent="0.25">
      <c r="H3687">
        <v>703</v>
      </c>
    </row>
    <row r="3688" spans="1:23" x14ac:dyDescent="0.25">
      <c r="A3688">
        <v>1841</v>
      </c>
      <c r="B3688">
        <v>1345</v>
      </c>
      <c r="C3688" t="s">
        <v>5116</v>
      </c>
      <c r="D3688" t="s">
        <v>219</v>
      </c>
      <c r="E3688" t="s">
        <v>53</v>
      </c>
      <c r="F3688" t="s">
        <v>5117</v>
      </c>
      <c r="G3688" t="str">
        <f>"201511021834"</f>
        <v>201511021834</v>
      </c>
      <c r="H3688">
        <v>990</v>
      </c>
      <c r="I3688">
        <v>0</v>
      </c>
      <c r="J3688">
        <v>50</v>
      </c>
      <c r="K3688">
        <v>0</v>
      </c>
      <c r="L3688">
        <v>0</v>
      </c>
      <c r="M3688">
        <v>0</v>
      </c>
      <c r="N3688">
        <v>0</v>
      </c>
      <c r="O3688">
        <v>0</v>
      </c>
      <c r="P3688">
        <v>0</v>
      </c>
      <c r="Q3688">
        <v>0</v>
      </c>
      <c r="R3688">
        <v>0</v>
      </c>
      <c r="S3688">
        <v>0</v>
      </c>
      <c r="T3688">
        <v>0</v>
      </c>
      <c r="V3688">
        <v>1</v>
      </c>
      <c r="W3688">
        <v>1040</v>
      </c>
    </row>
    <row r="3689" spans="1:23" x14ac:dyDescent="0.25">
      <c r="H3689">
        <v>703</v>
      </c>
    </row>
    <row r="3690" spans="1:23" x14ac:dyDescent="0.25">
      <c r="A3690">
        <v>1842</v>
      </c>
      <c r="B3690">
        <v>118</v>
      </c>
      <c r="C3690" t="s">
        <v>5118</v>
      </c>
      <c r="D3690" t="s">
        <v>4494</v>
      </c>
      <c r="E3690" t="s">
        <v>227</v>
      </c>
      <c r="F3690" t="s">
        <v>5119</v>
      </c>
      <c r="G3690" t="str">
        <f>"00107053"</f>
        <v>00107053</v>
      </c>
      <c r="H3690" t="s">
        <v>570</v>
      </c>
      <c r="I3690">
        <v>0</v>
      </c>
      <c r="J3690">
        <v>30</v>
      </c>
      <c r="K3690">
        <v>0</v>
      </c>
      <c r="L3690">
        <v>0</v>
      </c>
      <c r="M3690">
        <v>0</v>
      </c>
      <c r="N3690">
        <v>0</v>
      </c>
      <c r="O3690">
        <v>0</v>
      </c>
      <c r="P3690">
        <v>0</v>
      </c>
      <c r="Q3690">
        <v>0</v>
      </c>
      <c r="R3690">
        <v>0</v>
      </c>
      <c r="S3690">
        <v>0</v>
      </c>
      <c r="T3690">
        <v>0</v>
      </c>
      <c r="V3690">
        <v>0</v>
      </c>
      <c r="W3690" t="s">
        <v>5120</v>
      </c>
    </row>
    <row r="3691" spans="1:23" x14ac:dyDescent="0.25">
      <c r="H3691">
        <v>703</v>
      </c>
    </row>
    <row r="3692" spans="1:23" x14ac:dyDescent="0.25">
      <c r="A3692">
        <v>1843</v>
      </c>
      <c r="B3692">
        <v>2205</v>
      </c>
      <c r="C3692" t="s">
        <v>5121</v>
      </c>
      <c r="D3692" t="s">
        <v>32</v>
      </c>
      <c r="E3692" t="s">
        <v>792</v>
      </c>
      <c r="F3692" t="s">
        <v>5122</v>
      </c>
      <c r="G3692" t="str">
        <f>"00103240"</f>
        <v>00103240</v>
      </c>
      <c r="H3692" t="s">
        <v>1377</v>
      </c>
      <c r="I3692">
        <v>0</v>
      </c>
      <c r="J3692">
        <v>0</v>
      </c>
      <c r="K3692">
        <v>0</v>
      </c>
      <c r="L3692">
        <v>0</v>
      </c>
      <c r="M3692">
        <v>0</v>
      </c>
      <c r="N3692">
        <v>0</v>
      </c>
      <c r="O3692">
        <v>0</v>
      </c>
      <c r="P3692">
        <v>0</v>
      </c>
      <c r="Q3692">
        <v>0</v>
      </c>
      <c r="R3692">
        <v>20</v>
      </c>
      <c r="S3692">
        <v>140</v>
      </c>
      <c r="T3692">
        <v>0</v>
      </c>
      <c r="V3692">
        <v>0</v>
      </c>
      <c r="W3692" t="s">
        <v>5120</v>
      </c>
    </row>
    <row r="3693" spans="1:23" x14ac:dyDescent="0.25">
      <c r="H3693" t="s">
        <v>70</v>
      </c>
    </row>
    <row r="3694" spans="1:23" x14ac:dyDescent="0.25">
      <c r="A3694">
        <v>1844</v>
      </c>
      <c r="B3694">
        <v>927</v>
      </c>
      <c r="C3694" t="s">
        <v>2053</v>
      </c>
      <c r="D3694" t="s">
        <v>46</v>
      </c>
      <c r="E3694" t="s">
        <v>15</v>
      </c>
      <c r="F3694" t="s">
        <v>5123</v>
      </c>
      <c r="G3694" t="str">
        <f>"00206912"</f>
        <v>00206912</v>
      </c>
      <c r="H3694" t="s">
        <v>281</v>
      </c>
      <c r="I3694">
        <v>0</v>
      </c>
      <c r="J3694">
        <v>0</v>
      </c>
      <c r="K3694">
        <v>0</v>
      </c>
      <c r="L3694">
        <v>0</v>
      </c>
      <c r="M3694">
        <v>0</v>
      </c>
      <c r="N3694">
        <v>0</v>
      </c>
      <c r="O3694">
        <v>0</v>
      </c>
      <c r="P3694">
        <v>0</v>
      </c>
      <c r="Q3694">
        <v>0</v>
      </c>
      <c r="R3694">
        <v>0</v>
      </c>
      <c r="S3694">
        <v>0</v>
      </c>
      <c r="T3694">
        <v>0</v>
      </c>
      <c r="V3694">
        <v>0</v>
      </c>
      <c r="W3694" t="s">
        <v>281</v>
      </c>
    </row>
    <row r="3695" spans="1:23" x14ac:dyDescent="0.25">
      <c r="H3695">
        <v>703</v>
      </c>
    </row>
    <row r="3696" spans="1:23" x14ac:dyDescent="0.25">
      <c r="A3696">
        <v>1845</v>
      </c>
      <c r="B3696">
        <v>2649</v>
      </c>
      <c r="C3696" t="s">
        <v>5124</v>
      </c>
      <c r="D3696" t="s">
        <v>46</v>
      </c>
      <c r="E3696" t="s">
        <v>53</v>
      </c>
      <c r="F3696" t="s">
        <v>5125</v>
      </c>
      <c r="G3696" t="str">
        <f>"00227643"</f>
        <v>00227643</v>
      </c>
      <c r="H3696" t="s">
        <v>281</v>
      </c>
      <c r="I3696">
        <v>0</v>
      </c>
      <c r="J3696">
        <v>0</v>
      </c>
      <c r="K3696">
        <v>0</v>
      </c>
      <c r="L3696">
        <v>0</v>
      </c>
      <c r="M3696">
        <v>0</v>
      </c>
      <c r="N3696">
        <v>0</v>
      </c>
      <c r="O3696">
        <v>0</v>
      </c>
      <c r="P3696">
        <v>0</v>
      </c>
      <c r="Q3696">
        <v>0</v>
      </c>
      <c r="R3696">
        <v>0</v>
      </c>
      <c r="S3696">
        <v>0</v>
      </c>
      <c r="T3696">
        <v>0</v>
      </c>
      <c r="V3696">
        <v>0</v>
      </c>
      <c r="W3696" t="s">
        <v>281</v>
      </c>
    </row>
    <row r="3697" spans="1:23" x14ac:dyDescent="0.25">
      <c r="H3697">
        <v>703</v>
      </c>
    </row>
    <row r="3698" spans="1:23" x14ac:dyDescent="0.25">
      <c r="A3698">
        <v>1846</v>
      </c>
      <c r="B3698">
        <v>3038</v>
      </c>
      <c r="C3698" t="s">
        <v>5126</v>
      </c>
      <c r="D3698" t="s">
        <v>432</v>
      </c>
      <c r="E3698" t="s">
        <v>41</v>
      </c>
      <c r="F3698" t="s">
        <v>5127</v>
      </c>
      <c r="G3698" t="str">
        <f>"201409000028"</f>
        <v>201409000028</v>
      </c>
      <c r="H3698" t="s">
        <v>2419</v>
      </c>
      <c r="I3698">
        <v>150</v>
      </c>
      <c r="J3698">
        <v>0</v>
      </c>
      <c r="K3698">
        <v>0</v>
      </c>
      <c r="L3698">
        <v>0</v>
      </c>
      <c r="M3698">
        <v>0</v>
      </c>
      <c r="N3698">
        <v>0</v>
      </c>
      <c r="O3698">
        <v>0</v>
      </c>
      <c r="P3698">
        <v>0</v>
      </c>
      <c r="Q3698">
        <v>0</v>
      </c>
      <c r="R3698">
        <v>21</v>
      </c>
      <c r="S3698">
        <v>147</v>
      </c>
      <c r="T3698">
        <v>0</v>
      </c>
      <c r="V3698">
        <v>0</v>
      </c>
      <c r="W3698" t="s">
        <v>281</v>
      </c>
    </row>
    <row r="3699" spans="1:23" x14ac:dyDescent="0.25">
      <c r="H3699">
        <v>703</v>
      </c>
    </row>
    <row r="3700" spans="1:23" x14ac:dyDescent="0.25">
      <c r="A3700">
        <v>1847</v>
      </c>
      <c r="B3700">
        <v>653</v>
      </c>
      <c r="C3700" t="s">
        <v>5128</v>
      </c>
      <c r="D3700" t="s">
        <v>344</v>
      </c>
      <c r="E3700" t="s">
        <v>3192</v>
      </c>
      <c r="F3700" t="s">
        <v>5129</v>
      </c>
      <c r="G3700" t="str">
        <f>"00226843"</f>
        <v>00226843</v>
      </c>
      <c r="H3700" t="s">
        <v>833</v>
      </c>
      <c r="I3700">
        <v>0</v>
      </c>
      <c r="J3700">
        <v>70</v>
      </c>
      <c r="K3700">
        <v>0</v>
      </c>
      <c r="L3700">
        <v>0</v>
      </c>
      <c r="M3700">
        <v>30</v>
      </c>
      <c r="N3700">
        <v>0</v>
      </c>
      <c r="O3700">
        <v>0</v>
      </c>
      <c r="P3700">
        <v>0</v>
      </c>
      <c r="Q3700">
        <v>0</v>
      </c>
      <c r="R3700">
        <v>0</v>
      </c>
      <c r="S3700">
        <v>0</v>
      </c>
      <c r="T3700">
        <v>0</v>
      </c>
      <c r="V3700">
        <v>0</v>
      </c>
      <c r="W3700" t="s">
        <v>5130</v>
      </c>
    </row>
    <row r="3701" spans="1:23" x14ac:dyDescent="0.25">
      <c r="H3701" t="s">
        <v>70</v>
      </c>
    </row>
    <row r="3702" spans="1:23" x14ac:dyDescent="0.25">
      <c r="A3702">
        <v>1848</v>
      </c>
      <c r="B3702">
        <v>144</v>
      </c>
      <c r="C3702" t="s">
        <v>5131</v>
      </c>
      <c r="D3702" t="s">
        <v>660</v>
      </c>
      <c r="E3702" t="s">
        <v>91</v>
      </c>
      <c r="F3702" t="s">
        <v>5132</v>
      </c>
      <c r="G3702" t="str">
        <f>"00225793"</f>
        <v>00225793</v>
      </c>
      <c r="H3702" t="s">
        <v>2437</v>
      </c>
      <c r="I3702">
        <v>150</v>
      </c>
      <c r="J3702">
        <v>50</v>
      </c>
      <c r="K3702">
        <v>0</v>
      </c>
      <c r="L3702">
        <v>0</v>
      </c>
      <c r="M3702">
        <v>0</v>
      </c>
      <c r="N3702">
        <v>0</v>
      </c>
      <c r="O3702">
        <v>0</v>
      </c>
      <c r="P3702">
        <v>0</v>
      </c>
      <c r="Q3702">
        <v>0</v>
      </c>
      <c r="R3702">
        <v>0</v>
      </c>
      <c r="S3702">
        <v>0</v>
      </c>
      <c r="T3702">
        <v>0</v>
      </c>
      <c r="V3702">
        <v>0</v>
      </c>
      <c r="W3702" t="s">
        <v>5133</v>
      </c>
    </row>
    <row r="3703" spans="1:23" x14ac:dyDescent="0.25">
      <c r="H3703">
        <v>703</v>
      </c>
    </row>
    <row r="3704" spans="1:23" x14ac:dyDescent="0.25">
      <c r="A3704">
        <v>1849</v>
      </c>
      <c r="B3704">
        <v>335</v>
      </c>
      <c r="C3704" t="s">
        <v>5134</v>
      </c>
      <c r="D3704" t="s">
        <v>279</v>
      </c>
      <c r="E3704" t="s">
        <v>91</v>
      </c>
      <c r="F3704" t="s">
        <v>5135</v>
      </c>
      <c r="G3704" t="str">
        <f>"00227934"</f>
        <v>00227934</v>
      </c>
      <c r="H3704" t="s">
        <v>836</v>
      </c>
      <c r="I3704">
        <v>0</v>
      </c>
      <c r="J3704">
        <v>70</v>
      </c>
      <c r="K3704">
        <v>0</v>
      </c>
      <c r="L3704">
        <v>0</v>
      </c>
      <c r="M3704">
        <v>0</v>
      </c>
      <c r="N3704">
        <v>0</v>
      </c>
      <c r="O3704">
        <v>0</v>
      </c>
      <c r="P3704">
        <v>0</v>
      </c>
      <c r="Q3704">
        <v>0</v>
      </c>
      <c r="R3704">
        <v>0</v>
      </c>
      <c r="S3704">
        <v>0</v>
      </c>
      <c r="T3704">
        <v>0</v>
      </c>
      <c r="V3704">
        <v>0</v>
      </c>
      <c r="W3704" t="s">
        <v>5136</v>
      </c>
    </row>
    <row r="3705" spans="1:23" x14ac:dyDescent="0.25">
      <c r="H3705">
        <v>703</v>
      </c>
    </row>
    <row r="3706" spans="1:23" x14ac:dyDescent="0.25">
      <c r="A3706">
        <v>1850</v>
      </c>
      <c r="B3706">
        <v>675</v>
      </c>
      <c r="C3706" t="s">
        <v>5137</v>
      </c>
      <c r="D3706" t="s">
        <v>4296</v>
      </c>
      <c r="E3706" t="s">
        <v>76</v>
      </c>
      <c r="F3706" t="s">
        <v>5138</v>
      </c>
      <c r="G3706" t="str">
        <f>"00009006"</f>
        <v>00009006</v>
      </c>
      <c r="H3706">
        <v>836</v>
      </c>
      <c r="I3706">
        <v>0</v>
      </c>
      <c r="J3706">
        <v>0</v>
      </c>
      <c r="K3706">
        <v>0</v>
      </c>
      <c r="L3706">
        <v>0</v>
      </c>
      <c r="M3706">
        <v>0</v>
      </c>
      <c r="N3706">
        <v>0</v>
      </c>
      <c r="O3706">
        <v>0</v>
      </c>
      <c r="P3706">
        <v>0</v>
      </c>
      <c r="Q3706">
        <v>0</v>
      </c>
      <c r="R3706">
        <v>29</v>
      </c>
      <c r="S3706">
        <v>203</v>
      </c>
      <c r="T3706">
        <v>0</v>
      </c>
      <c r="V3706">
        <v>0</v>
      </c>
      <c r="W3706">
        <v>1039</v>
      </c>
    </row>
    <row r="3707" spans="1:23" x14ac:dyDescent="0.25">
      <c r="H3707">
        <v>703</v>
      </c>
    </row>
    <row r="3708" spans="1:23" x14ac:dyDescent="0.25">
      <c r="A3708">
        <v>1851</v>
      </c>
      <c r="B3708">
        <v>2223</v>
      </c>
      <c r="C3708" t="s">
        <v>5139</v>
      </c>
      <c r="D3708" t="s">
        <v>140</v>
      </c>
      <c r="E3708" t="s">
        <v>15</v>
      </c>
      <c r="F3708" t="s">
        <v>5140</v>
      </c>
      <c r="G3708" t="str">
        <f>"201402005659"</f>
        <v>201402005659</v>
      </c>
      <c r="H3708" t="s">
        <v>1841</v>
      </c>
      <c r="I3708">
        <v>0</v>
      </c>
      <c r="J3708">
        <v>70</v>
      </c>
      <c r="K3708">
        <v>0</v>
      </c>
      <c r="L3708">
        <v>0</v>
      </c>
      <c r="M3708">
        <v>0</v>
      </c>
      <c r="N3708">
        <v>0</v>
      </c>
      <c r="O3708">
        <v>0</v>
      </c>
      <c r="P3708">
        <v>0</v>
      </c>
      <c r="Q3708">
        <v>0</v>
      </c>
      <c r="R3708">
        <v>0</v>
      </c>
      <c r="S3708">
        <v>0</v>
      </c>
      <c r="T3708">
        <v>0</v>
      </c>
      <c r="V3708">
        <v>0</v>
      </c>
      <c r="W3708" t="s">
        <v>5141</v>
      </c>
    </row>
    <row r="3709" spans="1:23" x14ac:dyDescent="0.25">
      <c r="H3709" t="s">
        <v>26</v>
      </c>
    </row>
    <row r="3710" spans="1:23" x14ac:dyDescent="0.25">
      <c r="A3710">
        <v>1852</v>
      </c>
      <c r="B3710">
        <v>2147</v>
      </c>
      <c r="C3710" t="s">
        <v>5142</v>
      </c>
      <c r="D3710" t="s">
        <v>2114</v>
      </c>
      <c r="E3710" t="s">
        <v>1196</v>
      </c>
      <c r="F3710" t="s">
        <v>5143</v>
      </c>
      <c r="G3710" t="str">
        <f>"00229476"</f>
        <v>00229476</v>
      </c>
      <c r="H3710" t="s">
        <v>1238</v>
      </c>
      <c r="I3710">
        <v>150</v>
      </c>
      <c r="J3710">
        <v>0</v>
      </c>
      <c r="K3710">
        <v>0</v>
      </c>
      <c r="L3710">
        <v>0</v>
      </c>
      <c r="M3710">
        <v>0</v>
      </c>
      <c r="N3710">
        <v>0</v>
      </c>
      <c r="O3710">
        <v>0</v>
      </c>
      <c r="P3710">
        <v>0</v>
      </c>
      <c r="Q3710">
        <v>0</v>
      </c>
      <c r="R3710">
        <v>0</v>
      </c>
      <c r="S3710">
        <v>0</v>
      </c>
      <c r="T3710">
        <v>0</v>
      </c>
      <c r="V3710">
        <v>2</v>
      </c>
      <c r="W3710" t="s">
        <v>5144</v>
      </c>
    </row>
    <row r="3711" spans="1:23" x14ac:dyDescent="0.25">
      <c r="H3711">
        <v>703</v>
      </c>
    </row>
    <row r="3712" spans="1:23" x14ac:dyDescent="0.25">
      <c r="A3712">
        <v>1853</v>
      </c>
      <c r="B3712">
        <v>1333</v>
      </c>
      <c r="C3712" t="s">
        <v>2954</v>
      </c>
      <c r="D3712" t="s">
        <v>3292</v>
      </c>
      <c r="E3712" t="s">
        <v>752</v>
      </c>
      <c r="F3712" t="s">
        <v>5145</v>
      </c>
      <c r="G3712" t="str">
        <f>"00154908"</f>
        <v>00154908</v>
      </c>
      <c r="H3712" t="s">
        <v>299</v>
      </c>
      <c r="I3712">
        <v>0</v>
      </c>
      <c r="J3712">
        <v>0</v>
      </c>
      <c r="K3712">
        <v>0</v>
      </c>
      <c r="L3712">
        <v>0</v>
      </c>
      <c r="M3712">
        <v>0</v>
      </c>
      <c r="N3712">
        <v>0</v>
      </c>
      <c r="O3712">
        <v>0</v>
      </c>
      <c r="P3712">
        <v>0</v>
      </c>
      <c r="Q3712">
        <v>0</v>
      </c>
      <c r="R3712">
        <v>0</v>
      </c>
      <c r="S3712">
        <v>0</v>
      </c>
      <c r="T3712">
        <v>0</v>
      </c>
      <c r="V3712">
        <v>0</v>
      </c>
      <c r="W3712" t="s">
        <v>299</v>
      </c>
    </row>
    <row r="3713" spans="1:23" x14ac:dyDescent="0.25">
      <c r="H3713">
        <v>703</v>
      </c>
    </row>
    <row r="3714" spans="1:23" x14ac:dyDescent="0.25">
      <c r="A3714">
        <v>1854</v>
      </c>
      <c r="B3714">
        <v>923</v>
      </c>
      <c r="C3714" t="s">
        <v>5146</v>
      </c>
      <c r="D3714" t="s">
        <v>219</v>
      </c>
      <c r="E3714" t="s">
        <v>53</v>
      </c>
      <c r="F3714" t="s">
        <v>5147</v>
      </c>
      <c r="G3714" t="str">
        <f>"00125170"</f>
        <v>00125170</v>
      </c>
      <c r="H3714">
        <v>935</v>
      </c>
      <c r="I3714">
        <v>0</v>
      </c>
      <c r="J3714">
        <v>70</v>
      </c>
      <c r="K3714">
        <v>30</v>
      </c>
      <c r="L3714">
        <v>0</v>
      </c>
      <c r="M3714">
        <v>0</v>
      </c>
      <c r="N3714">
        <v>0</v>
      </c>
      <c r="O3714">
        <v>0</v>
      </c>
      <c r="P3714">
        <v>0</v>
      </c>
      <c r="Q3714">
        <v>0</v>
      </c>
      <c r="R3714">
        <v>0</v>
      </c>
      <c r="S3714">
        <v>0</v>
      </c>
      <c r="T3714">
        <v>0</v>
      </c>
      <c r="V3714">
        <v>0</v>
      </c>
      <c r="W3714">
        <v>1035</v>
      </c>
    </row>
    <row r="3715" spans="1:23" x14ac:dyDescent="0.25">
      <c r="H3715" t="s">
        <v>26</v>
      </c>
    </row>
    <row r="3716" spans="1:23" x14ac:dyDescent="0.25">
      <c r="A3716">
        <v>1855</v>
      </c>
      <c r="B3716">
        <v>342</v>
      </c>
      <c r="C3716" t="s">
        <v>5148</v>
      </c>
      <c r="D3716" t="s">
        <v>20</v>
      </c>
      <c r="E3716" t="s">
        <v>607</v>
      </c>
      <c r="F3716" t="s">
        <v>5149</v>
      </c>
      <c r="G3716" t="str">
        <f>"00171761"</f>
        <v>00171761</v>
      </c>
      <c r="H3716">
        <v>935</v>
      </c>
      <c r="I3716">
        <v>0</v>
      </c>
      <c r="J3716">
        <v>70</v>
      </c>
      <c r="K3716">
        <v>0</v>
      </c>
      <c r="L3716">
        <v>30</v>
      </c>
      <c r="M3716">
        <v>0</v>
      </c>
      <c r="N3716">
        <v>0</v>
      </c>
      <c r="O3716">
        <v>0</v>
      </c>
      <c r="P3716">
        <v>0</v>
      </c>
      <c r="Q3716">
        <v>0</v>
      </c>
      <c r="R3716">
        <v>0</v>
      </c>
      <c r="S3716">
        <v>0</v>
      </c>
      <c r="T3716">
        <v>0</v>
      </c>
      <c r="V3716">
        <v>0</v>
      </c>
      <c r="W3716">
        <v>1035</v>
      </c>
    </row>
    <row r="3717" spans="1:23" x14ac:dyDescent="0.25">
      <c r="H3717" t="s">
        <v>70</v>
      </c>
    </row>
    <row r="3718" spans="1:23" x14ac:dyDescent="0.25">
      <c r="A3718">
        <v>1856</v>
      </c>
      <c r="B3718">
        <v>141</v>
      </c>
      <c r="C3718" t="s">
        <v>5150</v>
      </c>
      <c r="D3718" t="s">
        <v>501</v>
      </c>
      <c r="E3718" t="s">
        <v>3214</v>
      </c>
      <c r="F3718" t="s">
        <v>5151</v>
      </c>
      <c r="G3718" t="str">
        <f>"00201146"</f>
        <v>00201146</v>
      </c>
      <c r="H3718" t="s">
        <v>202</v>
      </c>
      <c r="I3718">
        <v>0</v>
      </c>
      <c r="J3718">
        <v>50</v>
      </c>
      <c r="K3718">
        <v>0</v>
      </c>
      <c r="L3718">
        <v>0</v>
      </c>
      <c r="M3718">
        <v>0</v>
      </c>
      <c r="N3718">
        <v>0</v>
      </c>
      <c r="O3718">
        <v>0</v>
      </c>
      <c r="P3718">
        <v>0</v>
      </c>
      <c r="Q3718">
        <v>0</v>
      </c>
      <c r="R3718">
        <v>0</v>
      </c>
      <c r="S3718">
        <v>0</v>
      </c>
      <c r="T3718">
        <v>0</v>
      </c>
      <c r="V3718">
        <v>0</v>
      </c>
      <c r="W3718" t="s">
        <v>5152</v>
      </c>
    </row>
    <row r="3719" spans="1:23" x14ac:dyDescent="0.25">
      <c r="H3719">
        <v>703</v>
      </c>
    </row>
    <row r="3720" spans="1:23" x14ac:dyDescent="0.25">
      <c r="A3720">
        <v>1857</v>
      </c>
      <c r="B3720">
        <v>3200</v>
      </c>
      <c r="C3720" t="s">
        <v>4817</v>
      </c>
      <c r="D3720" t="s">
        <v>5153</v>
      </c>
      <c r="E3720" t="s">
        <v>91</v>
      </c>
      <c r="F3720" t="s">
        <v>5154</v>
      </c>
      <c r="G3720" t="str">
        <f>"00044820"</f>
        <v>00044820</v>
      </c>
      <c r="H3720" t="s">
        <v>1241</v>
      </c>
      <c r="I3720">
        <v>150</v>
      </c>
      <c r="J3720">
        <v>0</v>
      </c>
      <c r="K3720">
        <v>0</v>
      </c>
      <c r="L3720">
        <v>0</v>
      </c>
      <c r="M3720">
        <v>0</v>
      </c>
      <c r="N3720">
        <v>0</v>
      </c>
      <c r="O3720">
        <v>0</v>
      </c>
      <c r="P3720">
        <v>0</v>
      </c>
      <c r="Q3720">
        <v>0</v>
      </c>
      <c r="R3720">
        <v>0</v>
      </c>
      <c r="S3720">
        <v>0</v>
      </c>
      <c r="T3720">
        <v>0</v>
      </c>
      <c r="V3720">
        <v>2</v>
      </c>
      <c r="W3720" t="s">
        <v>5155</v>
      </c>
    </row>
    <row r="3721" spans="1:23" x14ac:dyDescent="0.25">
      <c r="H3721" t="s">
        <v>2427</v>
      </c>
    </row>
    <row r="3722" spans="1:23" x14ac:dyDescent="0.25">
      <c r="A3722">
        <v>1858</v>
      </c>
      <c r="B3722">
        <v>888</v>
      </c>
      <c r="C3722" t="s">
        <v>2588</v>
      </c>
      <c r="D3722" t="s">
        <v>273</v>
      </c>
      <c r="E3722" t="s">
        <v>947</v>
      </c>
      <c r="F3722" t="s">
        <v>5156</v>
      </c>
      <c r="G3722" t="str">
        <f>"00226554"</f>
        <v>00226554</v>
      </c>
      <c r="H3722" t="s">
        <v>270</v>
      </c>
      <c r="I3722">
        <v>0</v>
      </c>
      <c r="J3722">
        <v>30</v>
      </c>
      <c r="K3722">
        <v>0</v>
      </c>
      <c r="L3722">
        <v>0</v>
      </c>
      <c r="M3722">
        <v>0</v>
      </c>
      <c r="N3722">
        <v>0</v>
      </c>
      <c r="O3722">
        <v>0</v>
      </c>
      <c r="P3722">
        <v>0</v>
      </c>
      <c r="Q3722">
        <v>0</v>
      </c>
      <c r="R3722">
        <v>0</v>
      </c>
      <c r="S3722">
        <v>0</v>
      </c>
      <c r="T3722">
        <v>0</v>
      </c>
      <c r="V3722">
        <v>0</v>
      </c>
      <c r="W3722" t="s">
        <v>5157</v>
      </c>
    </row>
    <row r="3723" spans="1:23" x14ac:dyDescent="0.25">
      <c r="H3723">
        <v>703</v>
      </c>
    </row>
    <row r="3724" spans="1:23" x14ac:dyDescent="0.25">
      <c r="A3724">
        <v>1859</v>
      </c>
      <c r="B3724">
        <v>2679</v>
      </c>
      <c r="C3724" t="s">
        <v>5158</v>
      </c>
      <c r="D3724" t="s">
        <v>230</v>
      </c>
      <c r="E3724" t="s">
        <v>1147</v>
      </c>
      <c r="F3724" t="s">
        <v>5159</v>
      </c>
      <c r="G3724" t="str">
        <f>"201410008520"</f>
        <v>201410008520</v>
      </c>
      <c r="H3724" t="s">
        <v>3338</v>
      </c>
      <c r="I3724">
        <v>0</v>
      </c>
      <c r="J3724">
        <v>0</v>
      </c>
      <c r="K3724">
        <v>0</v>
      </c>
      <c r="L3724">
        <v>0</v>
      </c>
      <c r="M3724">
        <v>0</v>
      </c>
      <c r="N3724">
        <v>0</v>
      </c>
      <c r="O3724">
        <v>0</v>
      </c>
      <c r="P3724">
        <v>0</v>
      </c>
      <c r="Q3724">
        <v>0</v>
      </c>
      <c r="R3724">
        <v>51</v>
      </c>
      <c r="S3724">
        <v>357</v>
      </c>
      <c r="T3724">
        <v>0</v>
      </c>
      <c r="V3724">
        <v>0</v>
      </c>
      <c r="W3724" t="s">
        <v>5160</v>
      </c>
    </row>
    <row r="3725" spans="1:23" x14ac:dyDescent="0.25">
      <c r="H3725">
        <v>703</v>
      </c>
    </row>
    <row r="3726" spans="1:23" x14ac:dyDescent="0.25">
      <c r="A3726">
        <v>1860</v>
      </c>
      <c r="B3726">
        <v>122</v>
      </c>
      <c r="C3726" t="s">
        <v>4953</v>
      </c>
      <c r="D3726" t="s">
        <v>273</v>
      </c>
      <c r="E3726" t="s">
        <v>227</v>
      </c>
      <c r="F3726" t="s">
        <v>5161</v>
      </c>
      <c r="G3726" t="str">
        <f>"00090847"</f>
        <v>00090847</v>
      </c>
      <c r="H3726" t="s">
        <v>1503</v>
      </c>
      <c r="I3726">
        <v>0</v>
      </c>
      <c r="J3726">
        <v>30</v>
      </c>
      <c r="K3726">
        <v>0</v>
      </c>
      <c r="L3726">
        <v>0</v>
      </c>
      <c r="M3726">
        <v>0</v>
      </c>
      <c r="N3726">
        <v>0</v>
      </c>
      <c r="O3726">
        <v>0</v>
      </c>
      <c r="P3726">
        <v>0</v>
      </c>
      <c r="Q3726">
        <v>0</v>
      </c>
      <c r="R3726">
        <v>0</v>
      </c>
      <c r="S3726">
        <v>0</v>
      </c>
      <c r="T3726">
        <v>0</v>
      </c>
      <c r="V3726">
        <v>0</v>
      </c>
      <c r="W3726" t="s">
        <v>5162</v>
      </c>
    </row>
    <row r="3727" spans="1:23" x14ac:dyDescent="0.25">
      <c r="H3727">
        <v>703</v>
      </c>
    </row>
    <row r="3728" spans="1:23" x14ac:dyDescent="0.25">
      <c r="A3728">
        <v>1861</v>
      </c>
      <c r="B3728">
        <v>1014</v>
      </c>
      <c r="C3728" t="s">
        <v>5163</v>
      </c>
      <c r="D3728" t="s">
        <v>273</v>
      </c>
      <c r="E3728" t="s">
        <v>592</v>
      </c>
      <c r="F3728" t="s">
        <v>5164</v>
      </c>
      <c r="G3728" t="str">
        <f>"200910000241"</f>
        <v>200910000241</v>
      </c>
      <c r="H3728" t="s">
        <v>465</v>
      </c>
      <c r="I3728">
        <v>0</v>
      </c>
      <c r="J3728">
        <v>70</v>
      </c>
      <c r="K3728">
        <v>0</v>
      </c>
      <c r="L3728">
        <v>0</v>
      </c>
      <c r="M3728">
        <v>0</v>
      </c>
      <c r="N3728">
        <v>0</v>
      </c>
      <c r="O3728">
        <v>0</v>
      </c>
      <c r="P3728">
        <v>0</v>
      </c>
      <c r="Q3728">
        <v>0</v>
      </c>
      <c r="R3728">
        <v>0</v>
      </c>
      <c r="S3728">
        <v>0</v>
      </c>
      <c r="T3728">
        <v>0</v>
      </c>
      <c r="V3728">
        <v>0</v>
      </c>
      <c r="W3728" t="s">
        <v>5165</v>
      </c>
    </row>
    <row r="3729" spans="1:23" x14ac:dyDescent="0.25">
      <c r="H3729">
        <v>703</v>
      </c>
    </row>
    <row r="3730" spans="1:23" x14ac:dyDescent="0.25">
      <c r="A3730">
        <v>1862</v>
      </c>
      <c r="B3730">
        <v>1785</v>
      </c>
      <c r="C3730" t="s">
        <v>5166</v>
      </c>
      <c r="D3730" t="s">
        <v>53</v>
      </c>
      <c r="E3730" t="s">
        <v>21</v>
      </c>
      <c r="F3730" t="s">
        <v>5167</v>
      </c>
      <c r="G3730" t="str">
        <f>"201406011694"</f>
        <v>201406011694</v>
      </c>
      <c r="H3730" t="s">
        <v>465</v>
      </c>
      <c r="I3730">
        <v>0</v>
      </c>
      <c r="J3730">
        <v>70</v>
      </c>
      <c r="K3730">
        <v>0</v>
      </c>
      <c r="L3730">
        <v>0</v>
      </c>
      <c r="M3730">
        <v>0</v>
      </c>
      <c r="N3730">
        <v>0</v>
      </c>
      <c r="O3730">
        <v>0</v>
      </c>
      <c r="P3730">
        <v>0</v>
      </c>
      <c r="Q3730">
        <v>0</v>
      </c>
      <c r="R3730">
        <v>0</v>
      </c>
      <c r="S3730">
        <v>0</v>
      </c>
      <c r="T3730">
        <v>0</v>
      </c>
      <c r="V3730">
        <v>0</v>
      </c>
      <c r="W3730" t="s">
        <v>5165</v>
      </c>
    </row>
    <row r="3731" spans="1:23" x14ac:dyDescent="0.25">
      <c r="H3731">
        <v>703</v>
      </c>
    </row>
    <row r="3732" spans="1:23" x14ac:dyDescent="0.25">
      <c r="A3732">
        <v>1863</v>
      </c>
      <c r="B3732">
        <v>2782</v>
      </c>
      <c r="C3732" t="s">
        <v>5168</v>
      </c>
      <c r="D3732" t="s">
        <v>155</v>
      </c>
      <c r="E3732" t="s">
        <v>109</v>
      </c>
      <c r="F3732" t="s">
        <v>5169</v>
      </c>
      <c r="G3732" t="str">
        <f>"201506000415"</f>
        <v>201506000415</v>
      </c>
      <c r="H3732">
        <v>902</v>
      </c>
      <c r="I3732">
        <v>0</v>
      </c>
      <c r="J3732">
        <v>70</v>
      </c>
      <c r="K3732">
        <v>0</v>
      </c>
      <c r="L3732">
        <v>0</v>
      </c>
      <c r="M3732">
        <v>30</v>
      </c>
      <c r="N3732">
        <v>30</v>
      </c>
      <c r="O3732">
        <v>0</v>
      </c>
      <c r="P3732">
        <v>0</v>
      </c>
      <c r="Q3732">
        <v>0</v>
      </c>
      <c r="R3732">
        <v>0</v>
      </c>
      <c r="S3732">
        <v>0</v>
      </c>
      <c r="T3732">
        <v>0</v>
      </c>
      <c r="V3732">
        <v>0</v>
      </c>
      <c r="W3732">
        <v>1032</v>
      </c>
    </row>
    <row r="3733" spans="1:23" x14ac:dyDescent="0.25">
      <c r="H3733" t="s">
        <v>70</v>
      </c>
    </row>
    <row r="3734" spans="1:23" x14ac:dyDescent="0.25">
      <c r="A3734">
        <v>1864</v>
      </c>
      <c r="B3734">
        <v>2084</v>
      </c>
      <c r="C3734" t="s">
        <v>5170</v>
      </c>
      <c r="D3734" t="s">
        <v>432</v>
      </c>
      <c r="E3734" t="s">
        <v>53</v>
      </c>
      <c r="F3734" t="s">
        <v>5171</v>
      </c>
      <c r="G3734" t="str">
        <f>"00202887"</f>
        <v>00202887</v>
      </c>
      <c r="H3734">
        <v>792</v>
      </c>
      <c r="I3734">
        <v>0</v>
      </c>
      <c r="J3734">
        <v>30</v>
      </c>
      <c r="K3734">
        <v>0</v>
      </c>
      <c r="L3734">
        <v>0</v>
      </c>
      <c r="M3734">
        <v>0</v>
      </c>
      <c r="N3734">
        <v>0</v>
      </c>
      <c r="O3734">
        <v>0</v>
      </c>
      <c r="P3734">
        <v>0</v>
      </c>
      <c r="Q3734">
        <v>0</v>
      </c>
      <c r="R3734">
        <v>30</v>
      </c>
      <c r="S3734">
        <v>210</v>
      </c>
      <c r="T3734">
        <v>0</v>
      </c>
      <c r="V3734">
        <v>0</v>
      </c>
      <c r="W3734">
        <v>1032</v>
      </c>
    </row>
    <row r="3735" spans="1:23" x14ac:dyDescent="0.25">
      <c r="H3735" t="s">
        <v>70</v>
      </c>
    </row>
    <row r="3736" spans="1:23" x14ac:dyDescent="0.25">
      <c r="A3736">
        <v>1865</v>
      </c>
      <c r="B3736">
        <v>2360</v>
      </c>
      <c r="C3736" t="s">
        <v>5172</v>
      </c>
      <c r="D3736" t="s">
        <v>273</v>
      </c>
      <c r="E3736" t="s">
        <v>356</v>
      </c>
      <c r="F3736" t="s">
        <v>5173</v>
      </c>
      <c r="G3736" t="str">
        <f>"00173661"</f>
        <v>00173661</v>
      </c>
      <c r="H3736">
        <v>1001</v>
      </c>
      <c r="I3736">
        <v>0</v>
      </c>
      <c r="J3736">
        <v>30</v>
      </c>
      <c r="K3736">
        <v>0</v>
      </c>
      <c r="L3736">
        <v>0</v>
      </c>
      <c r="M3736">
        <v>0</v>
      </c>
      <c r="N3736">
        <v>0</v>
      </c>
      <c r="O3736">
        <v>0</v>
      </c>
      <c r="P3736">
        <v>0</v>
      </c>
      <c r="Q3736">
        <v>0</v>
      </c>
      <c r="R3736">
        <v>0</v>
      </c>
      <c r="S3736">
        <v>0</v>
      </c>
      <c r="T3736">
        <v>0</v>
      </c>
      <c r="V3736">
        <v>0</v>
      </c>
      <c r="W3736">
        <v>1031</v>
      </c>
    </row>
    <row r="3737" spans="1:23" x14ac:dyDescent="0.25">
      <c r="H3737">
        <v>703</v>
      </c>
    </row>
    <row r="3738" spans="1:23" x14ac:dyDescent="0.25">
      <c r="A3738">
        <v>1866</v>
      </c>
      <c r="B3738">
        <v>1683</v>
      </c>
      <c r="C3738" t="s">
        <v>5174</v>
      </c>
      <c r="D3738" t="s">
        <v>285</v>
      </c>
      <c r="E3738" t="s">
        <v>105</v>
      </c>
      <c r="F3738" t="s">
        <v>5175</v>
      </c>
      <c r="G3738" t="str">
        <f>"200801011818"</f>
        <v>200801011818</v>
      </c>
      <c r="H3738" t="s">
        <v>5176</v>
      </c>
      <c r="I3738">
        <v>0</v>
      </c>
      <c r="J3738">
        <v>70</v>
      </c>
      <c r="K3738">
        <v>0</v>
      </c>
      <c r="L3738">
        <v>70</v>
      </c>
      <c r="M3738">
        <v>0</v>
      </c>
      <c r="N3738">
        <v>0</v>
      </c>
      <c r="O3738">
        <v>0</v>
      </c>
      <c r="P3738">
        <v>0</v>
      </c>
      <c r="Q3738">
        <v>0</v>
      </c>
      <c r="R3738">
        <v>34</v>
      </c>
      <c r="S3738">
        <v>238</v>
      </c>
      <c r="T3738">
        <v>0</v>
      </c>
      <c r="V3738">
        <v>2</v>
      </c>
      <c r="W3738" t="s">
        <v>5177</v>
      </c>
    </row>
    <row r="3739" spans="1:23" x14ac:dyDescent="0.25">
      <c r="H3739" t="s">
        <v>70</v>
      </c>
    </row>
    <row r="3740" spans="1:23" x14ac:dyDescent="0.25">
      <c r="A3740">
        <v>1867</v>
      </c>
      <c r="B3740">
        <v>2097</v>
      </c>
      <c r="C3740" t="s">
        <v>5178</v>
      </c>
      <c r="D3740" t="s">
        <v>4678</v>
      </c>
      <c r="E3740" t="s">
        <v>5179</v>
      </c>
      <c r="F3740" t="s">
        <v>5180</v>
      </c>
      <c r="G3740" t="str">
        <f>"00227697"</f>
        <v>00227697</v>
      </c>
      <c r="H3740">
        <v>649</v>
      </c>
      <c r="I3740">
        <v>150</v>
      </c>
      <c r="J3740">
        <v>0</v>
      </c>
      <c r="K3740">
        <v>0</v>
      </c>
      <c r="L3740">
        <v>0</v>
      </c>
      <c r="M3740">
        <v>0</v>
      </c>
      <c r="N3740">
        <v>0</v>
      </c>
      <c r="O3740">
        <v>0</v>
      </c>
      <c r="P3740">
        <v>0</v>
      </c>
      <c r="Q3740">
        <v>0</v>
      </c>
      <c r="R3740">
        <v>33</v>
      </c>
      <c r="S3740">
        <v>231</v>
      </c>
      <c r="T3740">
        <v>0</v>
      </c>
      <c r="V3740">
        <v>0</v>
      </c>
      <c r="W3740">
        <v>1030</v>
      </c>
    </row>
    <row r="3741" spans="1:23" x14ac:dyDescent="0.25">
      <c r="H3741" t="s">
        <v>2316</v>
      </c>
    </row>
    <row r="3742" spans="1:23" x14ac:dyDescent="0.25">
      <c r="A3742">
        <v>1868</v>
      </c>
      <c r="B3742">
        <v>23</v>
      </c>
      <c r="C3742" t="s">
        <v>5181</v>
      </c>
      <c r="D3742" t="s">
        <v>112</v>
      </c>
      <c r="E3742" t="s">
        <v>15</v>
      </c>
      <c r="F3742" t="s">
        <v>5182</v>
      </c>
      <c r="G3742" t="str">
        <f>"201506001389"</f>
        <v>201506001389</v>
      </c>
      <c r="H3742" t="s">
        <v>480</v>
      </c>
      <c r="I3742">
        <v>0</v>
      </c>
      <c r="J3742">
        <v>30</v>
      </c>
      <c r="K3742">
        <v>0</v>
      </c>
      <c r="L3742">
        <v>0</v>
      </c>
      <c r="M3742">
        <v>0</v>
      </c>
      <c r="N3742">
        <v>0</v>
      </c>
      <c r="O3742">
        <v>0</v>
      </c>
      <c r="P3742">
        <v>0</v>
      </c>
      <c r="Q3742">
        <v>0</v>
      </c>
      <c r="R3742">
        <v>0</v>
      </c>
      <c r="S3742">
        <v>0</v>
      </c>
      <c r="T3742">
        <v>0</v>
      </c>
      <c r="V3742">
        <v>0</v>
      </c>
      <c r="W3742" t="s">
        <v>5183</v>
      </c>
    </row>
    <row r="3743" spans="1:23" x14ac:dyDescent="0.25">
      <c r="H3743" t="s">
        <v>26</v>
      </c>
    </row>
    <row r="3744" spans="1:23" x14ac:dyDescent="0.25">
      <c r="A3744">
        <v>1869</v>
      </c>
      <c r="B3744">
        <v>2213</v>
      </c>
      <c r="C3744" t="s">
        <v>5184</v>
      </c>
      <c r="D3744" t="s">
        <v>226</v>
      </c>
      <c r="E3744" t="s">
        <v>15</v>
      </c>
      <c r="F3744" t="s">
        <v>5185</v>
      </c>
      <c r="G3744" t="str">
        <f>"201011000017"</f>
        <v>201011000017</v>
      </c>
      <c r="H3744" t="s">
        <v>5186</v>
      </c>
      <c r="I3744">
        <v>150</v>
      </c>
      <c r="J3744">
        <v>70</v>
      </c>
      <c r="K3744">
        <v>0</v>
      </c>
      <c r="L3744">
        <v>30</v>
      </c>
      <c r="M3744">
        <v>0</v>
      </c>
      <c r="N3744">
        <v>0</v>
      </c>
      <c r="O3744">
        <v>0</v>
      </c>
      <c r="P3744">
        <v>0</v>
      </c>
      <c r="Q3744">
        <v>0</v>
      </c>
      <c r="R3744">
        <v>5</v>
      </c>
      <c r="S3744">
        <v>35</v>
      </c>
      <c r="T3744">
        <v>0</v>
      </c>
      <c r="V3744">
        <v>0</v>
      </c>
      <c r="W3744" t="s">
        <v>5187</v>
      </c>
    </row>
    <row r="3745" spans="1:23" x14ac:dyDescent="0.25">
      <c r="H3745">
        <v>703</v>
      </c>
    </row>
    <row r="3746" spans="1:23" x14ac:dyDescent="0.25">
      <c r="A3746">
        <v>1870</v>
      </c>
      <c r="B3746">
        <v>1646</v>
      </c>
      <c r="C3746" t="s">
        <v>1595</v>
      </c>
      <c r="D3746" t="s">
        <v>20</v>
      </c>
      <c r="E3746" t="s">
        <v>76</v>
      </c>
      <c r="F3746" t="s">
        <v>5188</v>
      </c>
      <c r="G3746" t="str">
        <f>"201303000883"</f>
        <v>201303000883</v>
      </c>
      <c r="H3746" t="s">
        <v>958</v>
      </c>
      <c r="I3746">
        <v>0</v>
      </c>
      <c r="J3746">
        <v>0</v>
      </c>
      <c r="K3746">
        <v>0</v>
      </c>
      <c r="L3746">
        <v>0</v>
      </c>
      <c r="M3746">
        <v>0</v>
      </c>
      <c r="N3746">
        <v>0</v>
      </c>
      <c r="O3746">
        <v>0</v>
      </c>
      <c r="P3746">
        <v>0</v>
      </c>
      <c r="Q3746">
        <v>0</v>
      </c>
      <c r="R3746">
        <v>0</v>
      </c>
      <c r="S3746">
        <v>0</v>
      </c>
      <c r="T3746">
        <v>0</v>
      </c>
      <c r="V3746">
        <v>0</v>
      </c>
      <c r="W3746" t="s">
        <v>958</v>
      </c>
    </row>
    <row r="3747" spans="1:23" x14ac:dyDescent="0.25">
      <c r="H3747">
        <v>703</v>
      </c>
    </row>
    <row r="3748" spans="1:23" x14ac:dyDescent="0.25">
      <c r="A3748">
        <v>1871</v>
      </c>
      <c r="B3748">
        <v>2493</v>
      </c>
      <c r="C3748" t="s">
        <v>5189</v>
      </c>
      <c r="D3748" t="s">
        <v>325</v>
      </c>
      <c r="E3748" t="s">
        <v>478</v>
      </c>
      <c r="F3748" t="s">
        <v>5190</v>
      </c>
      <c r="G3748" t="str">
        <f>"200801008945"</f>
        <v>200801008945</v>
      </c>
      <c r="H3748" t="s">
        <v>1532</v>
      </c>
      <c r="I3748">
        <v>0</v>
      </c>
      <c r="J3748">
        <v>70</v>
      </c>
      <c r="K3748">
        <v>0</v>
      </c>
      <c r="L3748">
        <v>0</v>
      </c>
      <c r="M3748">
        <v>30</v>
      </c>
      <c r="N3748">
        <v>0</v>
      </c>
      <c r="O3748">
        <v>0</v>
      </c>
      <c r="P3748">
        <v>0</v>
      </c>
      <c r="Q3748">
        <v>0</v>
      </c>
      <c r="R3748">
        <v>0</v>
      </c>
      <c r="S3748">
        <v>0</v>
      </c>
      <c r="T3748">
        <v>0</v>
      </c>
      <c r="V3748">
        <v>0</v>
      </c>
      <c r="W3748" t="s">
        <v>5191</v>
      </c>
    </row>
    <row r="3749" spans="1:23" x14ac:dyDescent="0.25">
      <c r="H3749" t="s">
        <v>70</v>
      </c>
    </row>
    <row r="3750" spans="1:23" x14ac:dyDescent="0.25">
      <c r="A3750">
        <v>1872</v>
      </c>
      <c r="B3750">
        <v>1654</v>
      </c>
      <c r="C3750" t="s">
        <v>5192</v>
      </c>
      <c r="D3750" t="s">
        <v>36</v>
      </c>
      <c r="E3750" t="s">
        <v>105</v>
      </c>
      <c r="F3750" t="s">
        <v>5193</v>
      </c>
      <c r="G3750" t="str">
        <f>"201412001770"</f>
        <v>201412001770</v>
      </c>
      <c r="H3750">
        <v>880</v>
      </c>
      <c r="I3750">
        <v>0</v>
      </c>
      <c r="J3750">
        <v>30</v>
      </c>
      <c r="K3750">
        <v>0</v>
      </c>
      <c r="L3750">
        <v>0</v>
      </c>
      <c r="M3750">
        <v>0</v>
      </c>
      <c r="N3750">
        <v>0</v>
      </c>
      <c r="O3750">
        <v>0</v>
      </c>
      <c r="P3750">
        <v>0</v>
      </c>
      <c r="Q3750">
        <v>0</v>
      </c>
      <c r="R3750">
        <v>17</v>
      </c>
      <c r="S3750">
        <v>119</v>
      </c>
      <c r="T3750">
        <v>0</v>
      </c>
      <c r="V3750">
        <v>0</v>
      </c>
      <c r="W3750">
        <v>1029</v>
      </c>
    </row>
    <row r="3751" spans="1:23" x14ac:dyDescent="0.25">
      <c r="H3751" t="s">
        <v>70</v>
      </c>
    </row>
    <row r="3752" spans="1:23" x14ac:dyDescent="0.25">
      <c r="A3752">
        <v>1873</v>
      </c>
      <c r="B3752">
        <v>2247</v>
      </c>
      <c r="C3752" t="s">
        <v>5194</v>
      </c>
      <c r="D3752" t="s">
        <v>112</v>
      </c>
      <c r="E3752" t="s">
        <v>372</v>
      </c>
      <c r="F3752" t="s">
        <v>5195</v>
      </c>
      <c r="G3752" t="str">
        <f>"00104171"</f>
        <v>00104171</v>
      </c>
      <c r="H3752" t="s">
        <v>187</v>
      </c>
      <c r="I3752">
        <v>0</v>
      </c>
      <c r="J3752">
        <v>0</v>
      </c>
      <c r="K3752">
        <v>0</v>
      </c>
      <c r="L3752">
        <v>0</v>
      </c>
      <c r="M3752">
        <v>0</v>
      </c>
      <c r="N3752">
        <v>0</v>
      </c>
      <c r="O3752">
        <v>0</v>
      </c>
      <c r="P3752">
        <v>0</v>
      </c>
      <c r="Q3752">
        <v>0</v>
      </c>
      <c r="R3752">
        <v>0</v>
      </c>
      <c r="S3752">
        <v>0</v>
      </c>
      <c r="T3752">
        <v>0</v>
      </c>
      <c r="V3752">
        <v>0</v>
      </c>
      <c r="W3752" t="s">
        <v>187</v>
      </c>
    </row>
    <row r="3753" spans="1:23" x14ac:dyDescent="0.25">
      <c r="H3753" t="s">
        <v>70</v>
      </c>
    </row>
    <row r="3754" spans="1:23" x14ac:dyDescent="0.25">
      <c r="A3754">
        <v>1874</v>
      </c>
      <c r="B3754">
        <v>1405</v>
      </c>
      <c r="C3754" t="s">
        <v>5196</v>
      </c>
      <c r="D3754" t="s">
        <v>1760</v>
      </c>
      <c r="E3754" t="s">
        <v>99</v>
      </c>
      <c r="F3754" t="s">
        <v>5197</v>
      </c>
      <c r="G3754" t="str">
        <f>"00039509"</f>
        <v>00039509</v>
      </c>
      <c r="H3754" t="s">
        <v>1049</v>
      </c>
      <c r="I3754">
        <v>0</v>
      </c>
      <c r="J3754">
        <v>30</v>
      </c>
      <c r="K3754">
        <v>0</v>
      </c>
      <c r="L3754">
        <v>0</v>
      </c>
      <c r="M3754">
        <v>0</v>
      </c>
      <c r="N3754">
        <v>0</v>
      </c>
      <c r="O3754">
        <v>0</v>
      </c>
      <c r="P3754">
        <v>0</v>
      </c>
      <c r="Q3754">
        <v>0</v>
      </c>
      <c r="R3754">
        <v>13</v>
      </c>
      <c r="S3754">
        <v>91</v>
      </c>
      <c r="T3754">
        <v>0</v>
      </c>
      <c r="V3754">
        <v>1</v>
      </c>
      <c r="W3754" t="s">
        <v>187</v>
      </c>
    </row>
    <row r="3755" spans="1:23" x14ac:dyDescent="0.25">
      <c r="H3755">
        <v>703</v>
      </c>
    </row>
    <row r="3756" spans="1:23" x14ac:dyDescent="0.25">
      <c r="A3756">
        <v>1875</v>
      </c>
      <c r="B3756">
        <v>361</v>
      </c>
      <c r="C3756" t="s">
        <v>5198</v>
      </c>
      <c r="D3756" t="s">
        <v>344</v>
      </c>
      <c r="E3756" t="s">
        <v>5199</v>
      </c>
      <c r="F3756" t="s">
        <v>5200</v>
      </c>
      <c r="G3756" t="str">
        <f>"00229122"</f>
        <v>00229122</v>
      </c>
      <c r="H3756" t="s">
        <v>5201</v>
      </c>
      <c r="I3756">
        <v>150</v>
      </c>
      <c r="J3756">
        <v>0</v>
      </c>
      <c r="K3756">
        <v>0</v>
      </c>
      <c r="L3756">
        <v>0</v>
      </c>
      <c r="M3756">
        <v>0</v>
      </c>
      <c r="N3756">
        <v>0</v>
      </c>
      <c r="O3756">
        <v>0</v>
      </c>
      <c r="P3756">
        <v>0</v>
      </c>
      <c r="Q3756">
        <v>0</v>
      </c>
      <c r="R3756">
        <v>21</v>
      </c>
      <c r="S3756">
        <v>147</v>
      </c>
      <c r="T3756">
        <v>0</v>
      </c>
      <c r="V3756">
        <v>0</v>
      </c>
      <c r="W3756" t="s">
        <v>187</v>
      </c>
    </row>
    <row r="3757" spans="1:23" x14ac:dyDescent="0.25">
      <c r="H3757">
        <v>703</v>
      </c>
    </row>
    <row r="3758" spans="1:23" x14ac:dyDescent="0.25">
      <c r="A3758">
        <v>1876</v>
      </c>
      <c r="B3758">
        <v>632</v>
      </c>
      <c r="C3758" t="s">
        <v>5202</v>
      </c>
      <c r="D3758" t="s">
        <v>140</v>
      </c>
      <c r="E3758" t="s">
        <v>3990</v>
      </c>
      <c r="F3758" t="s">
        <v>5203</v>
      </c>
      <c r="G3758" t="str">
        <f>"00230351"</f>
        <v>00230351</v>
      </c>
      <c r="H3758" t="s">
        <v>5204</v>
      </c>
      <c r="I3758">
        <v>0</v>
      </c>
      <c r="J3758">
        <v>0</v>
      </c>
      <c r="K3758">
        <v>30</v>
      </c>
      <c r="L3758">
        <v>0</v>
      </c>
      <c r="M3758">
        <v>0</v>
      </c>
      <c r="N3758">
        <v>0</v>
      </c>
      <c r="O3758">
        <v>0</v>
      </c>
      <c r="P3758">
        <v>0</v>
      </c>
      <c r="Q3758">
        <v>0</v>
      </c>
      <c r="R3758">
        <v>73</v>
      </c>
      <c r="S3758">
        <v>511</v>
      </c>
      <c r="T3758">
        <v>0</v>
      </c>
      <c r="V3758">
        <v>0</v>
      </c>
      <c r="W3758" t="s">
        <v>5205</v>
      </c>
    </row>
    <row r="3759" spans="1:23" x14ac:dyDescent="0.25">
      <c r="H3759">
        <v>703</v>
      </c>
    </row>
    <row r="3760" spans="1:23" x14ac:dyDescent="0.25">
      <c r="A3760">
        <v>1877</v>
      </c>
      <c r="B3760">
        <v>2169</v>
      </c>
      <c r="C3760" t="s">
        <v>5206</v>
      </c>
      <c r="D3760" t="s">
        <v>424</v>
      </c>
      <c r="E3760" t="s">
        <v>135</v>
      </c>
      <c r="F3760" t="s">
        <v>5207</v>
      </c>
      <c r="G3760" t="str">
        <f>"201406008394"</f>
        <v>201406008394</v>
      </c>
      <c r="H3760">
        <v>880</v>
      </c>
      <c r="I3760">
        <v>0</v>
      </c>
      <c r="J3760">
        <v>50</v>
      </c>
      <c r="K3760">
        <v>0</v>
      </c>
      <c r="L3760">
        <v>0</v>
      </c>
      <c r="M3760">
        <v>0</v>
      </c>
      <c r="N3760">
        <v>0</v>
      </c>
      <c r="O3760">
        <v>0</v>
      </c>
      <c r="P3760">
        <v>0</v>
      </c>
      <c r="Q3760">
        <v>0</v>
      </c>
      <c r="R3760">
        <v>14</v>
      </c>
      <c r="S3760">
        <v>98</v>
      </c>
      <c r="T3760">
        <v>0</v>
      </c>
      <c r="V3760">
        <v>0</v>
      </c>
      <c r="W3760">
        <v>1028</v>
      </c>
    </row>
    <row r="3761" spans="1:23" x14ac:dyDescent="0.25">
      <c r="H3761">
        <v>703</v>
      </c>
    </row>
    <row r="3762" spans="1:23" x14ac:dyDescent="0.25">
      <c r="A3762">
        <v>1878</v>
      </c>
      <c r="B3762">
        <v>2967</v>
      </c>
      <c r="C3762" t="s">
        <v>5208</v>
      </c>
      <c r="D3762" t="s">
        <v>392</v>
      </c>
      <c r="E3762" t="s">
        <v>99</v>
      </c>
      <c r="F3762" t="s">
        <v>5209</v>
      </c>
      <c r="G3762" t="str">
        <f>"201406000236"</f>
        <v>201406000236</v>
      </c>
      <c r="H3762">
        <v>957</v>
      </c>
      <c r="I3762">
        <v>0</v>
      </c>
      <c r="J3762">
        <v>70</v>
      </c>
      <c r="K3762">
        <v>0</v>
      </c>
      <c r="L3762">
        <v>0</v>
      </c>
      <c r="M3762">
        <v>0</v>
      </c>
      <c r="N3762">
        <v>0</v>
      </c>
      <c r="O3762">
        <v>0</v>
      </c>
      <c r="P3762">
        <v>0</v>
      </c>
      <c r="Q3762">
        <v>0</v>
      </c>
      <c r="R3762">
        <v>0</v>
      </c>
      <c r="S3762">
        <v>0</v>
      </c>
      <c r="T3762">
        <v>0</v>
      </c>
      <c r="V3762">
        <v>0</v>
      </c>
      <c r="W3762">
        <v>1027</v>
      </c>
    </row>
    <row r="3763" spans="1:23" x14ac:dyDescent="0.25">
      <c r="H3763">
        <v>703</v>
      </c>
    </row>
    <row r="3764" spans="1:23" x14ac:dyDescent="0.25">
      <c r="A3764">
        <v>1879</v>
      </c>
      <c r="B3764">
        <v>1469</v>
      </c>
      <c r="C3764" t="s">
        <v>5210</v>
      </c>
      <c r="D3764" t="s">
        <v>5211</v>
      </c>
      <c r="E3764" t="s">
        <v>53</v>
      </c>
      <c r="F3764" t="s">
        <v>5212</v>
      </c>
      <c r="G3764" t="str">
        <f>"201304006213"</f>
        <v>201304006213</v>
      </c>
      <c r="H3764">
        <v>880</v>
      </c>
      <c r="I3764">
        <v>0</v>
      </c>
      <c r="J3764">
        <v>70</v>
      </c>
      <c r="K3764">
        <v>0</v>
      </c>
      <c r="L3764">
        <v>0</v>
      </c>
      <c r="M3764">
        <v>0</v>
      </c>
      <c r="N3764">
        <v>0</v>
      </c>
      <c r="O3764">
        <v>0</v>
      </c>
      <c r="P3764">
        <v>0</v>
      </c>
      <c r="Q3764">
        <v>0</v>
      </c>
      <c r="R3764">
        <v>11</v>
      </c>
      <c r="S3764">
        <v>77</v>
      </c>
      <c r="T3764">
        <v>0</v>
      </c>
      <c r="V3764">
        <v>0</v>
      </c>
      <c r="W3764">
        <v>1027</v>
      </c>
    </row>
    <row r="3765" spans="1:23" x14ac:dyDescent="0.25">
      <c r="H3765">
        <v>703</v>
      </c>
    </row>
    <row r="3766" spans="1:23" x14ac:dyDescent="0.25">
      <c r="A3766">
        <v>1880</v>
      </c>
      <c r="B3766">
        <v>1474</v>
      </c>
      <c r="C3766" t="s">
        <v>5213</v>
      </c>
      <c r="D3766" t="s">
        <v>865</v>
      </c>
      <c r="E3766" t="s">
        <v>2469</v>
      </c>
      <c r="F3766" t="s">
        <v>5214</v>
      </c>
      <c r="G3766" t="str">
        <f>"200903000383"</f>
        <v>200903000383</v>
      </c>
      <c r="H3766" t="s">
        <v>358</v>
      </c>
      <c r="I3766">
        <v>0</v>
      </c>
      <c r="J3766">
        <v>30</v>
      </c>
      <c r="K3766">
        <v>0</v>
      </c>
      <c r="L3766">
        <v>0</v>
      </c>
      <c r="M3766">
        <v>0</v>
      </c>
      <c r="N3766">
        <v>0</v>
      </c>
      <c r="O3766">
        <v>0</v>
      </c>
      <c r="P3766">
        <v>0</v>
      </c>
      <c r="Q3766">
        <v>0</v>
      </c>
      <c r="R3766">
        <v>0</v>
      </c>
      <c r="S3766">
        <v>0</v>
      </c>
      <c r="T3766">
        <v>0</v>
      </c>
      <c r="V3766">
        <v>0</v>
      </c>
      <c r="W3766" t="s">
        <v>5215</v>
      </c>
    </row>
    <row r="3767" spans="1:23" x14ac:dyDescent="0.25">
      <c r="H3767">
        <v>703</v>
      </c>
    </row>
    <row r="3768" spans="1:23" x14ac:dyDescent="0.25">
      <c r="A3768">
        <v>1881</v>
      </c>
      <c r="B3768">
        <v>1622</v>
      </c>
      <c r="C3768" t="s">
        <v>5216</v>
      </c>
      <c r="D3768" t="s">
        <v>5217</v>
      </c>
      <c r="E3768" t="s">
        <v>76</v>
      </c>
      <c r="F3768" t="s">
        <v>5218</v>
      </c>
      <c r="G3768" t="str">
        <f>"00087260"</f>
        <v>00087260</v>
      </c>
      <c r="H3768" t="s">
        <v>358</v>
      </c>
      <c r="I3768">
        <v>0</v>
      </c>
      <c r="J3768">
        <v>30</v>
      </c>
      <c r="K3768">
        <v>0</v>
      </c>
      <c r="L3768">
        <v>0</v>
      </c>
      <c r="M3768">
        <v>0</v>
      </c>
      <c r="N3768">
        <v>0</v>
      </c>
      <c r="O3768">
        <v>0</v>
      </c>
      <c r="P3768">
        <v>0</v>
      </c>
      <c r="Q3768">
        <v>0</v>
      </c>
      <c r="R3768">
        <v>0</v>
      </c>
      <c r="S3768">
        <v>0</v>
      </c>
      <c r="T3768">
        <v>0</v>
      </c>
      <c r="V3768">
        <v>0</v>
      </c>
      <c r="W3768" t="s">
        <v>5215</v>
      </c>
    </row>
    <row r="3769" spans="1:23" x14ac:dyDescent="0.25">
      <c r="H3769" t="s">
        <v>26</v>
      </c>
    </row>
    <row r="3770" spans="1:23" x14ac:dyDescent="0.25">
      <c r="A3770">
        <v>1882</v>
      </c>
      <c r="B3770">
        <v>1853</v>
      </c>
      <c r="C3770" t="s">
        <v>5219</v>
      </c>
      <c r="D3770" t="s">
        <v>2330</v>
      </c>
      <c r="E3770" t="s">
        <v>99</v>
      </c>
      <c r="F3770" t="s">
        <v>5220</v>
      </c>
      <c r="G3770" t="str">
        <f>"201406012740"</f>
        <v>201406012740</v>
      </c>
      <c r="H3770">
        <v>990</v>
      </c>
      <c r="I3770">
        <v>0</v>
      </c>
      <c r="J3770">
        <v>0</v>
      </c>
      <c r="K3770">
        <v>0</v>
      </c>
      <c r="L3770">
        <v>0</v>
      </c>
      <c r="M3770">
        <v>0</v>
      </c>
      <c r="N3770">
        <v>0</v>
      </c>
      <c r="O3770">
        <v>0</v>
      </c>
      <c r="P3770">
        <v>0</v>
      </c>
      <c r="Q3770">
        <v>0</v>
      </c>
      <c r="R3770">
        <v>5</v>
      </c>
      <c r="S3770">
        <v>35</v>
      </c>
      <c r="T3770">
        <v>0</v>
      </c>
      <c r="V3770">
        <v>0</v>
      </c>
      <c r="W3770">
        <v>1025</v>
      </c>
    </row>
    <row r="3771" spans="1:23" x14ac:dyDescent="0.25">
      <c r="H3771">
        <v>703</v>
      </c>
    </row>
    <row r="3772" spans="1:23" x14ac:dyDescent="0.25">
      <c r="A3772">
        <v>1883</v>
      </c>
      <c r="B3772">
        <v>2284</v>
      </c>
      <c r="C3772" t="s">
        <v>2680</v>
      </c>
      <c r="D3772" t="s">
        <v>5221</v>
      </c>
      <c r="E3772" t="s">
        <v>47</v>
      </c>
      <c r="F3772" t="s">
        <v>5222</v>
      </c>
      <c r="G3772" t="str">
        <f>"00128928"</f>
        <v>00128928</v>
      </c>
      <c r="H3772">
        <v>946</v>
      </c>
      <c r="I3772">
        <v>0</v>
      </c>
      <c r="J3772">
        <v>50</v>
      </c>
      <c r="K3772">
        <v>0</v>
      </c>
      <c r="L3772">
        <v>0</v>
      </c>
      <c r="M3772">
        <v>0</v>
      </c>
      <c r="N3772">
        <v>0</v>
      </c>
      <c r="O3772">
        <v>0</v>
      </c>
      <c r="P3772">
        <v>0</v>
      </c>
      <c r="Q3772">
        <v>0</v>
      </c>
      <c r="R3772">
        <v>4</v>
      </c>
      <c r="S3772">
        <v>28</v>
      </c>
      <c r="T3772">
        <v>0</v>
      </c>
      <c r="V3772">
        <v>0</v>
      </c>
      <c r="W3772">
        <v>1024</v>
      </c>
    </row>
    <row r="3773" spans="1:23" x14ac:dyDescent="0.25">
      <c r="H3773">
        <v>703</v>
      </c>
    </row>
    <row r="3774" spans="1:23" x14ac:dyDescent="0.25">
      <c r="A3774">
        <v>1884</v>
      </c>
      <c r="B3774">
        <v>1267</v>
      </c>
      <c r="C3774" t="s">
        <v>5223</v>
      </c>
      <c r="D3774" t="s">
        <v>99</v>
      </c>
      <c r="E3774" t="s">
        <v>15</v>
      </c>
      <c r="F3774" t="s">
        <v>5224</v>
      </c>
      <c r="G3774" t="str">
        <f>"201405000408"</f>
        <v>201405000408</v>
      </c>
      <c r="H3774" t="s">
        <v>840</v>
      </c>
      <c r="I3774">
        <v>0</v>
      </c>
      <c r="J3774">
        <v>70</v>
      </c>
      <c r="K3774">
        <v>0</v>
      </c>
      <c r="L3774">
        <v>0</v>
      </c>
      <c r="M3774">
        <v>0</v>
      </c>
      <c r="N3774">
        <v>0</v>
      </c>
      <c r="O3774">
        <v>0</v>
      </c>
      <c r="P3774">
        <v>0</v>
      </c>
      <c r="Q3774">
        <v>0</v>
      </c>
      <c r="R3774">
        <v>5</v>
      </c>
      <c r="S3774">
        <v>35</v>
      </c>
      <c r="T3774">
        <v>0</v>
      </c>
      <c r="V3774">
        <v>0</v>
      </c>
      <c r="W3774" t="s">
        <v>5225</v>
      </c>
    </row>
    <row r="3775" spans="1:23" x14ac:dyDescent="0.25">
      <c r="H3775">
        <v>703</v>
      </c>
    </row>
    <row r="3776" spans="1:23" x14ac:dyDescent="0.25">
      <c r="A3776">
        <v>1885</v>
      </c>
      <c r="B3776">
        <v>1952</v>
      </c>
      <c r="C3776" t="s">
        <v>5226</v>
      </c>
      <c r="D3776" t="s">
        <v>285</v>
      </c>
      <c r="E3776" t="s">
        <v>99</v>
      </c>
      <c r="F3776" t="s">
        <v>5227</v>
      </c>
      <c r="G3776" t="str">
        <f>"201405002310"</f>
        <v>201405002310</v>
      </c>
      <c r="H3776" t="s">
        <v>840</v>
      </c>
      <c r="I3776">
        <v>0</v>
      </c>
      <c r="J3776">
        <v>70</v>
      </c>
      <c r="K3776">
        <v>0</v>
      </c>
      <c r="L3776">
        <v>0</v>
      </c>
      <c r="M3776">
        <v>0</v>
      </c>
      <c r="N3776">
        <v>0</v>
      </c>
      <c r="O3776">
        <v>0</v>
      </c>
      <c r="P3776">
        <v>0</v>
      </c>
      <c r="Q3776">
        <v>0</v>
      </c>
      <c r="R3776">
        <v>5</v>
      </c>
      <c r="S3776">
        <v>35</v>
      </c>
      <c r="T3776">
        <v>0</v>
      </c>
      <c r="V3776">
        <v>0</v>
      </c>
      <c r="W3776" t="s">
        <v>5225</v>
      </c>
    </row>
    <row r="3777" spans="1:23" x14ac:dyDescent="0.25">
      <c r="H3777">
        <v>703</v>
      </c>
    </row>
    <row r="3778" spans="1:23" x14ac:dyDescent="0.25">
      <c r="A3778">
        <v>1886</v>
      </c>
      <c r="B3778">
        <v>846</v>
      </c>
      <c r="C3778" t="s">
        <v>5228</v>
      </c>
      <c r="D3778" t="s">
        <v>258</v>
      </c>
      <c r="E3778" t="s">
        <v>227</v>
      </c>
      <c r="F3778" t="s">
        <v>5229</v>
      </c>
      <c r="G3778" t="str">
        <f>"201305000040"</f>
        <v>201305000040</v>
      </c>
      <c r="H3778" t="s">
        <v>1212</v>
      </c>
      <c r="I3778">
        <v>0</v>
      </c>
      <c r="J3778">
        <v>0</v>
      </c>
      <c r="K3778">
        <v>0</v>
      </c>
      <c r="L3778">
        <v>0</v>
      </c>
      <c r="M3778">
        <v>0</v>
      </c>
      <c r="N3778">
        <v>0</v>
      </c>
      <c r="O3778">
        <v>0</v>
      </c>
      <c r="P3778">
        <v>0</v>
      </c>
      <c r="Q3778">
        <v>0</v>
      </c>
      <c r="R3778">
        <v>29</v>
      </c>
      <c r="S3778">
        <v>203</v>
      </c>
      <c r="T3778">
        <v>0</v>
      </c>
      <c r="V3778">
        <v>0</v>
      </c>
      <c r="W3778" t="s">
        <v>5230</v>
      </c>
    </row>
    <row r="3779" spans="1:23" x14ac:dyDescent="0.25">
      <c r="H3779">
        <v>703</v>
      </c>
    </row>
    <row r="3780" spans="1:23" x14ac:dyDescent="0.25">
      <c r="A3780">
        <v>1887</v>
      </c>
      <c r="B3780">
        <v>147</v>
      </c>
      <c r="C3780" t="s">
        <v>980</v>
      </c>
      <c r="D3780" t="s">
        <v>67</v>
      </c>
      <c r="E3780" t="s">
        <v>53</v>
      </c>
      <c r="F3780" t="s">
        <v>5231</v>
      </c>
      <c r="G3780" t="str">
        <f>"201510004292"</f>
        <v>201510004292</v>
      </c>
      <c r="H3780" t="s">
        <v>217</v>
      </c>
      <c r="I3780">
        <v>0</v>
      </c>
      <c r="J3780">
        <v>70</v>
      </c>
      <c r="K3780">
        <v>0</v>
      </c>
      <c r="L3780">
        <v>0</v>
      </c>
      <c r="M3780">
        <v>0</v>
      </c>
      <c r="N3780">
        <v>0</v>
      </c>
      <c r="O3780">
        <v>0</v>
      </c>
      <c r="P3780">
        <v>0</v>
      </c>
      <c r="Q3780">
        <v>0</v>
      </c>
      <c r="R3780">
        <v>0</v>
      </c>
      <c r="S3780">
        <v>0</v>
      </c>
      <c r="T3780">
        <v>0</v>
      </c>
      <c r="V3780">
        <v>0</v>
      </c>
      <c r="W3780" t="s">
        <v>5232</v>
      </c>
    </row>
    <row r="3781" spans="1:23" x14ac:dyDescent="0.25">
      <c r="H3781">
        <v>703</v>
      </c>
    </row>
    <row r="3782" spans="1:23" x14ac:dyDescent="0.25">
      <c r="A3782">
        <v>1888</v>
      </c>
      <c r="B3782">
        <v>1354</v>
      </c>
      <c r="C3782" t="s">
        <v>5233</v>
      </c>
      <c r="D3782" t="s">
        <v>32</v>
      </c>
      <c r="E3782" t="s">
        <v>105</v>
      </c>
      <c r="F3782" t="s">
        <v>5234</v>
      </c>
      <c r="G3782" t="str">
        <f>"00111928"</f>
        <v>00111928</v>
      </c>
      <c r="H3782">
        <v>671</v>
      </c>
      <c r="I3782">
        <v>0</v>
      </c>
      <c r="J3782">
        <v>0</v>
      </c>
      <c r="K3782">
        <v>0</v>
      </c>
      <c r="L3782">
        <v>0</v>
      </c>
      <c r="M3782">
        <v>0</v>
      </c>
      <c r="N3782">
        <v>0</v>
      </c>
      <c r="O3782">
        <v>0</v>
      </c>
      <c r="P3782">
        <v>0</v>
      </c>
      <c r="Q3782">
        <v>0</v>
      </c>
      <c r="R3782">
        <v>50</v>
      </c>
      <c r="S3782">
        <v>350</v>
      </c>
      <c r="T3782">
        <v>0</v>
      </c>
      <c r="V3782">
        <v>2</v>
      </c>
      <c r="W3782">
        <v>1021</v>
      </c>
    </row>
    <row r="3783" spans="1:23" x14ac:dyDescent="0.25">
      <c r="H3783">
        <v>703</v>
      </c>
    </row>
    <row r="3784" spans="1:23" x14ac:dyDescent="0.25">
      <c r="A3784">
        <v>1889</v>
      </c>
      <c r="B3784">
        <v>2182</v>
      </c>
      <c r="C3784" t="s">
        <v>5235</v>
      </c>
      <c r="D3784" t="s">
        <v>3552</v>
      </c>
      <c r="E3784" t="s">
        <v>21</v>
      </c>
      <c r="F3784" t="s">
        <v>5236</v>
      </c>
      <c r="G3784" t="str">
        <f>"00021656"</f>
        <v>00021656</v>
      </c>
      <c r="H3784" t="s">
        <v>465</v>
      </c>
      <c r="I3784">
        <v>0</v>
      </c>
      <c r="J3784">
        <v>30</v>
      </c>
      <c r="K3784">
        <v>0</v>
      </c>
      <c r="L3784">
        <v>0</v>
      </c>
      <c r="M3784">
        <v>0</v>
      </c>
      <c r="N3784">
        <v>0</v>
      </c>
      <c r="O3784">
        <v>0</v>
      </c>
      <c r="P3784">
        <v>0</v>
      </c>
      <c r="Q3784">
        <v>0</v>
      </c>
      <c r="R3784">
        <v>4</v>
      </c>
      <c r="S3784">
        <v>28</v>
      </c>
      <c r="T3784">
        <v>0</v>
      </c>
      <c r="V3784">
        <v>0</v>
      </c>
      <c r="W3784" t="s">
        <v>5237</v>
      </c>
    </row>
    <row r="3785" spans="1:23" x14ac:dyDescent="0.25">
      <c r="H3785">
        <v>703</v>
      </c>
    </row>
    <row r="3786" spans="1:23" x14ac:dyDescent="0.25">
      <c r="A3786">
        <v>1890</v>
      </c>
      <c r="B3786">
        <v>2632</v>
      </c>
      <c r="C3786" t="s">
        <v>5238</v>
      </c>
      <c r="D3786" t="s">
        <v>5239</v>
      </c>
      <c r="E3786" t="s">
        <v>3990</v>
      </c>
      <c r="F3786" t="s">
        <v>5240</v>
      </c>
      <c r="G3786" t="str">
        <f>"00012291"</f>
        <v>00012291</v>
      </c>
      <c r="H3786">
        <v>990</v>
      </c>
      <c r="I3786">
        <v>0</v>
      </c>
      <c r="J3786">
        <v>30</v>
      </c>
      <c r="K3786">
        <v>0</v>
      </c>
      <c r="L3786">
        <v>0</v>
      </c>
      <c r="M3786">
        <v>0</v>
      </c>
      <c r="N3786">
        <v>0</v>
      </c>
      <c r="O3786">
        <v>0</v>
      </c>
      <c r="P3786">
        <v>0</v>
      </c>
      <c r="Q3786">
        <v>0</v>
      </c>
      <c r="R3786">
        <v>0</v>
      </c>
      <c r="S3786">
        <v>0</v>
      </c>
      <c r="T3786">
        <v>0</v>
      </c>
      <c r="V3786">
        <v>2</v>
      </c>
      <c r="W3786">
        <v>1020</v>
      </c>
    </row>
    <row r="3787" spans="1:23" x14ac:dyDescent="0.25">
      <c r="H3787">
        <v>703</v>
      </c>
    </row>
    <row r="3788" spans="1:23" x14ac:dyDescent="0.25">
      <c r="A3788">
        <v>1891</v>
      </c>
      <c r="B3788">
        <v>1352</v>
      </c>
      <c r="C3788" t="s">
        <v>3648</v>
      </c>
      <c r="D3788" t="s">
        <v>273</v>
      </c>
      <c r="E3788" t="s">
        <v>91</v>
      </c>
      <c r="F3788" t="s">
        <v>5241</v>
      </c>
      <c r="G3788" t="str">
        <f>"00229353"</f>
        <v>00229353</v>
      </c>
      <c r="H3788">
        <v>990</v>
      </c>
      <c r="I3788">
        <v>0</v>
      </c>
      <c r="J3788">
        <v>30</v>
      </c>
      <c r="K3788">
        <v>0</v>
      </c>
      <c r="L3788">
        <v>0</v>
      </c>
      <c r="M3788">
        <v>0</v>
      </c>
      <c r="N3788">
        <v>0</v>
      </c>
      <c r="O3788">
        <v>0</v>
      </c>
      <c r="P3788">
        <v>0</v>
      </c>
      <c r="Q3788">
        <v>0</v>
      </c>
      <c r="R3788">
        <v>0</v>
      </c>
      <c r="S3788">
        <v>0</v>
      </c>
      <c r="T3788">
        <v>0</v>
      </c>
      <c r="V3788">
        <v>0</v>
      </c>
      <c r="W3788">
        <v>1020</v>
      </c>
    </row>
    <row r="3789" spans="1:23" x14ac:dyDescent="0.25">
      <c r="H3789" t="s">
        <v>26</v>
      </c>
    </row>
    <row r="3790" spans="1:23" x14ac:dyDescent="0.25">
      <c r="A3790">
        <v>1892</v>
      </c>
      <c r="B3790">
        <v>1832</v>
      </c>
      <c r="C3790" t="s">
        <v>5242</v>
      </c>
      <c r="D3790" t="s">
        <v>258</v>
      </c>
      <c r="E3790" t="s">
        <v>752</v>
      </c>
      <c r="F3790" t="s">
        <v>5243</v>
      </c>
      <c r="G3790" t="str">
        <f>"00128490"</f>
        <v>00128490</v>
      </c>
      <c r="H3790">
        <v>990</v>
      </c>
      <c r="I3790">
        <v>0</v>
      </c>
      <c r="J3790">
        <v>30</v>
      </c>
      <c r="K3790">
        <v>0</v>
      </c>
      <c r="L3790">
        <v>0</v>
      </c>
      <c r="M3790">
        <v>0</v>
      </c>
      <c r="N3790">
        <v>0</v>
      </c>
      <c r="O3790">
        <v>0</v>
      </c>
      <c r="P3790">
        <v>0</v>
      </c>
      <c r="Q3790">
        <v>0</v>
      </c>
      <c r="R3790">
        <v>0</v>
      </c>
      <c r="S3790">
        <v>0</v>
      </c>
      <c r="T3790">
        <v>0</v>
      </c>
      <c r="V3790">
        <v>0</v>
      </c>
      <c r="W3790">
        <v>1020</v>
      </c>
    </row>
    <row r="3791" spans="1:23" x14ac:dyDescent="0.25">
      <c r="H3791">
        <v>703</v>
      </c>
    </row>
    <row r="3792" spans="1:23" x14ac:dyDescent="0.25">
      <c r="A3792">
        <v>1893</v>
      </c>
      <c r="B3792">
        <v>2362</v>
      </c>
      <c r="C3792" t="s">
        <v>5244</v>
      </c>
      <c r="D3792" t="s">
        <v>91</v>
      </c>
      <c r="E3792" t="s">
        <v>109</v>
      </c>
      <c r="F3792" t="s">
        <v>5245</v>
      </c>
      <c r="G3792" t="str">
        <f>"201504000559"</f>
        <v>201504000559</v>
      </c>
      <c r="H3792" t="s">
        <v>202</v>
      </c>
      <c r="I3792">
        <v>0</v>
      </c>
      <c r="J3792">
        <v>0</v>
      </c>
      <c r="K3792">
        <v>0</v>
      </c>
      <c r="L3792">
        <v>0</v>
      </c>
      <c r="M3792">
        <v>0</v>
      </c>
      <c r="N3792">
        <v>0</v>
      </c>
      <c r="O3792">
        <v>0</v>
      </c>
      <c r="P3792">
        <v>0</v>
      </c>
      <c r="Q3792">
        <v>0</v>
      </c>
      <c r="R3792">
        <v>5</v>
      </c>
      <c r="S3792">
        <v>35</v>
      </c>
      <c r="T3792">
        <v>0</v>
      </c>
      <c r="V3792">
        <v>0</v>
      </c>
      <c r="W3792" t="s">
        <v>5246</v>
      </c>
    </row>
    <row r="3793" spans="1:23" x14ac:dyDescent="0.25">
      <c r="H3793">
        <v>703</v>
      </c>
    </row>
    <row r="3794" spans="1:23" x14ac:dyDescent="0.25">
      <c r="A3794">
        <v>1894</v>
      </c>
      <c r="B3794">
        <v>2101</v>
      </c>
      <c r="C3794" t="s">
        <v>5247</v>
      </c>
      <c r="D3794" t="s">
        <v>67</v>
      </c>
      <c r="E3794" t="s">
        <v>454</v>
      </c>
      <c r="F3794" t="s">
        <v>5248</v>
      </c>
      <c r="G3794" t="str">
        <f>"00224802"</f>
        <v>00224802</v>
      </c>
      <c r="H3794" t="s">
        <v>2186</v>
      </c>
      <c r="I3794">
        <v>0</v>
      </c>
      <c r="J3794">
        <v>30</v>
      </c>
      <c r="K3794">
        <v>0</v>
      </c>
      <c r="L3794">
        <v>0</v>
      </c>
      <c r="M3794">
        <v>0</v>
      </c>
      <c r="N3794">
        <v>0</v>
      </c>
      <c r="O3794">
        <v>0</v>
      </c>
      <c r="P3794">
        <v>0</v>
      </c>
      <c r="Q3794">
        <v>0</v>
      </c>
      <c r="R3794">
        <v>18</v>
      </c>
      <c r="S3794">
        <v>126</v>
      </c>
      <c r="T3794">
        <v>0</v>
      </c>
      <c r="V3794">
        <v>0</v>
      </c>
      <c r="W3794" t="s">
        <v>5246</v>
      </c>
    </row>
    <row r="3795" spans="1:23" x14ac:dyDescent="0.25">
      <c r="H3795">
        <v>703</v>
      </c>
    </row>
    <row r="3796" spans="1:23" x14ac:dyDescent="0.25">
      <c r="A3796">
        <v>1895</v>
      </c>
      <c r="B3796">
        <v>2000</v>
      </c>
      <c r="C3796" t="s">
        <v>5249</v>
      </c>
      <c r="D3796" t="s">
        <v>5250</v>
      </c>
      <c r="E3796" t="s">
        <v>356</v>
      </c>
      <c r="F3796" t="s">
        <v>5251</v>
      </c>
      <c r="G3796" t="str">
        <f>"201405000098"</f>
        <v>201405000098</v>
      </c>
      <c r="H3796" t="s">
        <v>2191</v>
      </c>
      <c r="I3796">
        <v>0</v>
      </c>
      <c r="J3796">
        <v>0</v>
      </c>
      <c r="K3796">
        <v>0</v>
      </c>
      <c r="L3796">
        <v>0</v>
      </c>
      <c r="M3796">
        <v>0</v>
      </c>
      <c r="N3796">
        <v>0</v>
      </c>
      <c r="O3796">
        <v>0</v>
      </c>
      <c r="P3796">
        <v>0</v>
      </c>
      <c r="Q3796">
        <v>0</v>
      </c>
      <c r="R3796">
        <v>38</v>
      </c>
      <c r="S3796">
        <v>266</v>
      </c>
      <c r="T3796">
        <v>0</v>
      </c>
      <c r="V3796">
        <v>0</v>
      </c>
      <c r="W3796" t="s">
        <v>5246</v>
      </c>
    </row>
    <row r="3797" spans="1:23" x14ac:dyDescent="0.25">
      <c r="H3797">
        <v>703</v>
      </c>
    </row>
    <row r="3798" spans="1:23" x14ac:dyDescent="0.25">
      <c r="A3798">
        <v>1896</v>
      </c>
      <c r="B3798">
        <v>2737</v>
      </c>
      <c r="C3798" t="s">
        <v>5252</v>
      </c>
      <c r="D3798" t="s">
        <v>273</v>
      </c>
      <c r="E3798" t="s">
        <v>607</v>
      </c>
      <c r="F3798" t="s">
        <v>5253</v>
      </c>
      <c r="G3798" t="str">
        <f>"201406016156"</f>
        <v>201406016156</v>
      </c>
      <c r="H3798">
        <v>781</v>
      </c>
      <c r="I3798">
        <v>0</v>
      </c>
      <c r="J3798">
        <v>70</v>
      </c>
      <c r="K3798">
        <v>0</v>
      </c>
      <c r="L3798">
        <v>0</v>
      </c>
      <c r="M3798">
        <v>0</v>
      </c>
      <c r="N3798">
        <v>0</v>
      </c>
      <c r="O3798">
        <v>0</v>
      </c>
      <c r="P3798">
        <v>0</v>
      </c>
      <c r="Q3798">
        <v>0</v>
      </c>
      <c r="R3798">
        <v>24</v>
      </c>
      <c r="S3798">
        <v>168</v>
      </c>
      <c r="T3798">
        <v>0</v>
      </c>
      <c r="V3798">
        <v>1</v>
      </c>
      <c r="W3798">
        <v>1019</v>
      </c>
    </row>
    <row r="3799" spans="1:23" x14ac:dyDescent="0.25">
      <c r="H3799">
        <v>703</v>
      </c>
    </row>
    <row r="3800" spans="1:23" x14ac:dyDescent="0.25">
      <c r="A3800">
        <v>1897</v>
      </c>
      <c r="B3800">
        <v>14</v>
      </c>
      <c r="C3800" t="s">
        <v>5254</v>
      </c>
      <c r="D3800" t="s">
        <v>105</v>
      </c>
      <c r="E3800" t="s">
        <v>62</v>
      </c>
      <c r="F3800" t="s">
        <v>5255</v>
      </c>
      <c r="G3800" t="str">
        <f>"00116758"</f>
        <v>00116758</v>
      </c>
      <c r="H3800" t="s">
        <v>1014</v>
      </c>
      <c r="I3800">
        <v>0</v>
      </c>
      <c r="J3800">
        <v>30</v>
      </c>
      <c r="K3800">
        <v>30</v>
      </c>
      <c r="L3800">
        <v>0</v>
      </c>
      <c r="M3800">
        <v>0</v>
      </c>
      <c r="N3800">
        <v>0</v>
      </c>
      <c r="O3800">
        <v>0</v>
      </c>
      <c r="P3800">
        <v>0</v>
      </c>
      <c r="Q3800">
        <v>0</v>
      </c>
      <c r="R3800">
        <v>12</v>
      </c>
      <c r="S3800">
        <v>84</v>
      </c>
      <c r="T3800">
        <v>0</v>
      </c>
      <c r="V3800">
        <v>0</v>
      </c>
      <c r="W3800" t="s">
        <v>5256</v>
      </c>
    </row>
    <row r="3801" spans="1:23" x14ac:dyDescent="0.25">
      <c r="H3801" t="s">
        <v>70</v>
      </c>
    </row>
    <row r="3802" spans="1:23" x14ac:dyDescent="0.25">
      <c r="A3802">
        <v>1898</v>
      </c>
      <c r="B3802">
        <v>3026</v>
      </c>
      <c r="C3802" t="s">
        <v>5257</v>
      </c>
      <c r="D3802" t="s">
        <v>273</v>
      </c>
      <c r="E3802" t="s">
        <v>53</v>
      </c>
      <c r="F3802" t="s">
        <v>5258</v>
      </c>
      <c r="G3802" t="str">
        <f>"201402008616"</f>
        <v>201402008616</v>
      </c>
      <c r="H3802" t="s">
        <v>1001</v>
      </c>
      <c r="I3802">
        <v>0</v>
      </c>
      <c r="J3802">
        <v>70</v>
      </c>
      <c r="K3802">
        <v>30</v>
      </c>
      <c r="L3802">
        <v>0</v>
      </c>
      <c r="M3802">
        <v>0</v>
      </c>
      <c r="N3802">
        <v>0</v>
      </c>
      <c r="O3802">
        <v>0</v>
      </c>
      <c r="P3802">
        <v>0</v>
      </c>
      <c r="Q3802">
        <v>0</v>
      </c>
      <c r="R3802">
        <v>3</v>
      </c>
      <c r="S3802">
        <v>21</v>
      </c>
      <c r="T3802">
        <v>0</v>
      </c>
      <c r="V3802">
        <v>0</v>
      </c>
      <c r="W3802" t="s">
        <v>385</v>
      </c>
    </row>
    <row r="3803" spans="1:23" x14ac:dyDescent="0.25">
      <c r="H3803" t="s">
        <v>70</v>
      </c>
    </row>
    <row r="3804" spans="1:23" x14ac:dyDescent="0.25">
      <c r="A3804">
        <v>1899</v>
      </c>
      <c r="B3804">
        <v>2940</v>
      </c>
      <c r="C3804" t="s">
        <v>5259</v>
      </c>
      <c r="D3804" t="s">
        <v>53</v>
      </c>
      <c r="E3804" t="s">
        <v>33</v>
      </c>
      <c r="F3804" t="s">
        <v>5260</v>
      </c>
      <c r="G3804" t="str">
        <f>"00021762"</f>
        <v>00021762</v>
      </c>
      <c r="H3804" t="s">
        <v>2374</v>
      </c>
      <c r="I3804">
        <v>150</v>
      </c>
      <c r="J3804">
        <v>70</v>
      </c>
      <c r="K3804">
        <v>0</v>
      </c>
      <c r="L3804">
        <v>0</v>
      </c>
      <c r="M3804">
        <v>0</v>
      </c>
      <c r="N3804">
        <v>0</v>
      </c>
      <c r="O3804">
        <v>0</v>
      </c>
      <c r="P3804">
        <v>0</v>
      </c>
      <c r="Q3804">
        <v>0</v>
      </c>
      <c r="R3804">
        <v>0</v>
      </c>
      <c r="S3804">
        <v>0</v>
      </c>
      <c r="T3804">
        <v>0</v>
      </c>
      <c r="V3804">
        <v>0</v>
      </c>
      <c r="W3804" t="s">
        <v>385</v>
      </c>
    </row>
    <row r="3805" spans="1:23" x14ac:dyDescent="0.25">
      <c r="H3805" t="s">
        <v>26</v>
      </c>
    </row>
    <row r="3806" spans="1:23" x14ac:dyDescent="0.25">
      <c r="A3806">
        <v>1900</v>
      </c>
      <c r="B3806">
        <v>474</v>
      </c>
      <c r="C3806" t="s">
        <v>5261</v>
      </c>
      <c r="D3806" t="s">
        <v>67</v>
      </c>
      <c r="E3806" t="s">
        <v>1166</v>
      </c>
      <c r="F3806" t="s">
        <v>5262</v>
      </c>
      <c r="G3806" t="str">
        <f>"00109590"</f>
        <v>00109590</v>
      </c>
      <c r="H3806" t="s">
        <v>5263</v>
      </c>
      <c r="I3806">
        <v>150</v>
      </c>
      <c r="J3806">
        <v>70</v>
      </c>
      <c r="K3806">
        <v>0</v>
      </c>
      <c r="L3806">
        <v>0</v>
      </c>
      <c r="M3806">
        <v>0</v>
      </c>
      <c r="N3806">
        <v>0</v>
      </c>
      <c r="O3806">
        <v>0</v>
      </c>
      <c r="P3806">
        <v>0</v>
      </c>
      <c r="Q3806">
        <v>0</v>
      </c>
      <c r="R3806">
        <v>25</v>
      </c>
      <c r="S3806">
        <v>175</v>
      </c>
      <c r="T3806">
        <v>0</v>
      </c>
      <c r="V3806">
        <v>0</v>
      </c>
      <c r="W3806" t="s">
        <v>5264</v>
      </c>
    </row>
    <row r="3807" spans="1:23" x14ac:dyDescent="0.25">
      <c r="H3807">
        <v>703</v>
      </c>
    </row>
    <row r="3808" spans="1:23" x14ac:dyDescent="0.25">
      <c r="A3808">
        <v>1901</v>
      </c>
      <c r="B3808">
        <v>3044</v>
      </c>
      <c r="C3808" t="s">
        <v>5265</v>
      </c>
      <c r="D3808" t="s">
        <v>692</v>
      </c>
      <c r="E3808" t="s">
        <v>393</v>
      </c>
      <c r="F3808" t="s">
        <v>5266</v>
      </c>
      <c r="G3808" t="str">
        <f>"00017433"</f>
        <v>00017433</v>
      </c>
      <c r="H3808">
        <v>946</v>
      </c>
      <c r="I3808">
        <v>0</v>
      </c>
      <c r="J3808">
        <v>70</v>
      </c>
      <c r="K3808">
        <v>0</v>
      </c>
      <c r="L3808">
        <v>0</v>
      </c>
      <c r="M3808">
        <v>0</v>
      </c>
      <c r="N3808">
        <v>0</v>
      </c>
      <c r="O3808">
        <v>0</v>
      </c>
      <c r="P3808">
        <v>0</v>
      </c>
      <c r="Q3808">
        <v>0</v>
      </c>
      <c r="R3808">
        <v>0</v>
      </c>
      <c r="S3808">
        <v>0</v>
      </c>
      <c r="T3808">
        <v>0</v>
      </c>
      <c r="V3808">
        <v>0</v>
      </c>
      <c r="W3808">
        <v>1016</v>
      </c>
    </row>
    <row r="3809" spans="1:23" x14ac:dyDescent="0.25">
      <c r="H3809">
        <v>703</v>
      </c>
    </row>
    <row r="3810" spans="1:23" x14ac:dyDescent="0.25">
      <c r="A3810">
        <v>1902</v>
      </c>
      <c r="B3810">
        <v>2543</v>
      </c>
      <c r="C3810" t="s">
        <v>5267</v>
      </c>
      <c r="D3810" t="s">
        <v>5268</v>
      </c>
      <c r="E3810" t="s">
        <v>24</v>
      </c>
      <c r="F3810" t="s">
        <v>5269</v>
      </c>
      <c r="G3810" t="str">
        <f>"00017445"</f>
        <v>00017445</v>
      </c>
      <c r="H3810">
        <v>946</v>
      </c>
      <c r="I3810">
        <v>0</v>
      </c>
      <c r="J3810">
        <v>70</v>
      </c>
      <c r="K3810">
        <v>0</v>
      </c>
      <c r="L3810">
        <v>0</v>
      </c>
      <c r="M3810">
        <v>0</v>
      </c>
      <c r="N3810">
        <v>0</v>
      </c>
      <c r="O3810">
        <v>0</v>
      </c>
      <c r="P3810">
        <v>0</v>
      </c>
      <c r="Q3810">
        <v>0</v>
      </c>
      <c r="R3810">
        <v>0</v>
      </c>
      <c r="S3810">
        <v>0</v>
      </c>
      <c r="T3810">
        <v>0</v>
      </c>
      <c r="V3810">
        <v>1</v>
      </c>
      <c r="W3810">
        <v>1016</v>
      </c>
    </row>
    <row r="3811" spans="1:23" x14ac:dyDescent="0.25">
      <c r="H3811">
        <v>703</v>
      </c>
    </row>
    <row r="3812" spans="1:23" x14ac:dyDescent="0.25">
      <c r="A3812">
        <v>1903</v>
      </c>
      <c r="B3812">
        <v>1104</v>
      </c>
      <c r="C3812" t="s">
        <v>5270</v>
      </c>
      <c r="D3812" t="s">
        <v>2816</v>
      </c>
      <c r="E3812" t="s">
        <v>99</v>
      </c>
      <c r="F3812" t="s">
        <v>5271</v>
      </c>
      <c r="G3812" t="str">
        <f>"00189801"</f>
        <v>00189801</v>
      </c>
      <c r="H3812">
        <v>946</v>
      </c>
      <c r="I3812">
        <v>0</v>
      </c>
      <c r="J3812">
        <v>70</v>
      </c>
      <c r="K3812">
        <v>0</v>
      </c>
      <c r="L3812">
        <v>0</v>
      </c>
      <c r="M3812">
        <v>0</v>
      </c>
      <c r="N3812">
        <v>0</v>
      </c>
      <c r="O3812">
        <v>0</v>
      </c>
      <c r="P3812">
        <v>0</v>
      </c>
      <c r="Q3812">
        <v>0</v>
      </c>
      <c r="R3812">
        <v>0</v>
      </c>
      <c r="S3812">
        <v>0</v>
      </c>
      <c r="T3812">
        <v>0</v>
      </c>
      <c r="V3812">
        <v>0</v>
      </c>
      <c r="W3812">
        <v>1016</v>
      </c>
    </row>
    <row r="3813" spans="1:23" x14ac:dyDescent="0.25">
      <c r="H3813">
        <v>703</v>
      </c>
    </row>
    <row r="3814" spans="1:23" x14ac:dyDescent="0.25">
      <c r="A3814">
        <v>1904</v>
      </c>
      <c r="B3814">
        <v>1562</v>
      </c>
      <c r="C3814" t="s">
        <v>5272</v>
      </c>
      <c r="D3814" t="s">
        <v>76</v>
      </c>
      <c r="E3814" t="s">
        <v>79</v>
      </c>
      <c r="F3814" t="s">
        <v>5273</v>
      </c>
      <c r="G3814" t="str">
        <f>"00219420"</f>
        <v>00219420</v>
      </c>
      <c r="H3814">
        <v>836</v>
      </c>
      <c r="I3814">
        <v>150</v>
      </c>
      <c r="J3814">
        <v>30</v>
      </c>
      <c r="K3814">
        <v>0</v>
      </c>
      <c r="L3814">
        <v>0</v>
      </c>
      <c r="M3814">
        <v>0</v>
      </c>
      <c r="N3814">
        <v>0</v>
      </c>
      <c r="O3814">
        <v>0</v>
      </c>
      <c r="P3814">
        <v>0</v>
      </c>
      <c r="Q3814">
        <v>0</v>
      </c>
      <c r="R3814">
        <v>0</v>
      </c>
      <c r="S3814">
        <v>0</v>
      </c>
      <c r="T3814">
        <v>0</v>
      </c>
      <c r="V3814">
        <v>0</v>
      </c>
      <c r="W3814">
        <v>1016</v>
      </c>
    </row>
    <row r="3815" spans="1:23" x14ac:dyDescent="0.25">
      <c r="H3815">
        <v>703</v>
      </c>
    </row>
    <row r="3816" spans="1:23" x14ac:dyDescent="0.25">
      <c r="A3816">
        <v>1905</v>
      </c>
      <c r="B3816">
        <v>1496</v>
      </c>
      <c r="C3816" t="s">
        <v>5274</v>
      </c>
      <c r="D3816" t="s">
        <v>96</v>
      </c>
      <c r="E3816" t="s">
        <v>1440</v>
      </c>
      <c r="F3816" t="s">
        <v>5275</v>
      </c>
      <c r="G3816" t="str">
        <f>"00164162"</f>
        <v>00164162</v>
      </c>
      <c r="H3816" t="s">
        <v>2033</v>
      </c>
      <c r="I3816">
        <v>0</v>
      </c>
      <c r="J3816">
        <v>0</v>
      </c>
      <c r="K3816">
        <v>0</v>
      </c>
      <c r="L3816">
        <v>0</v>
      </c>
      <c r="M3816">
        <v>0</v>
      </c>
      <c r="N3816">
        <v>0</v>
      </c>
      <c r="O3816">
        <v>0</v>
      </c>
      <c r="P3816">
        <v>0</v>
      </c>
      <c r="Q3816">
        <v>0</v>
      </c>
      <c r="R3816">
        <v>9</v>
      </c>
      <c r="S3816">
        <v>63</v>
      </c>
      <c r="T3816">
        <v>0</v>
      </c>
      <c r="V3816">
        <v>0</v>
      </c>
      <c r="W3816" t="s">
        <v>5276</v>
      </c>
    </row>
    <row r="3817" spans="1:23" x14ac:dyDescent="0.25">
      <c r="H3817">
        <v>703</v>
      </c>
    </row>
    <row r="3818" spans="1:23" x14ac:dyDescent="0.25">
      <c r="A3818">
        <v>1906</v>
      </c>
      <c r="B3818">
        <v>2825</v>
      </c>
      <c r="C3818" t="s">
        <v>5277</v>
      </c>
      <c r="D3818" t="s">
        <v>1026</v>
      </c>
      <c r="E3818" t="s">
        <v>326</v>
      </c>
      <c r="F3818" t="s">
        <v>5278</v>
      </c>
      <c r="G3818" t="str">
        <f>"00209013"</f>
        <v>00209013</v>
      </c>
      <c r="H3818" t="s">
        <v>1514</v>
      </c>
      <c r="I3818">
        <v>150</v>
      </c>
      <c r="J3818">
        <v>0</v>
      </c>
      <c r="K3818">
        <v>0</v>
      </c>
      <c r="L3818">
        <v>0</v>
      </c>
      <c r="M3818">
        <v>0</v>
      </c>
      <c r="N3818">
        <v>0</v>
      </c>
      <c r="O3818">
        <v>0</v>
      </c>
      <c r="P3818">
        <v>0</v>
      </c>
      <c r="Q3818">
        <v>0</v>
      </c>
      <c r="R3818">
        <v>5</v>
      </c>
      <c r="S3818">
        <v>35</v>
      </c>
      <c r="T3818">
        <v>0</v>
      </c>
      <c r="V3818">
        <v>0</v>
      </c>
      <c r="W3818" t="s">
        <v>5279</v>
      </c>
    </row>
    <row r="3819" spans="1:23" x14ac:dyDescent="0.25">
      <c r="H3819">
        <v>703</v>
      </c>
    </row>
    <row r="3820" spans="1:23" x14ac:dyDescent="0.25">
      <c r="A3820">
        <v>1907</v>
      </c>
      <c r="B3820">
        <v>2930</v>
      </c>
      <c r="C3820" t="s">
        <v>3285</v>
      </c>
      <c r="D3820" t="s">
        <v>293</v>
      </c>
      <c r="E3820" t="s">
        <v>53</v>
      </c>
      <c r="F3820" t="s">
        <v>5280</v>
      </c>
      <c r="G3820" t="str">
        <f>"00207670"</f>
        <v>00207670</v>
      </c>
      <c r="H3820" t="s">
        <v>5281</v>
      </c>
      <c r="I3820">
        <v>0</v>
      </c>
      <c r="J3820">
        <v>0</v>
      </c>
      <c r="K3820">
        <v>0</v>
      </c>
      <c r="L3820">
        <v>0</v>
      </c>
      <c r="M3820">
        <v>0</v>
      </c>
      <c r="N3820">
        <v>0</v>
      </c>
      <c r="O3820">
        <v>0</v>
      </c>
      <c r="P3820">
        <v>0</v>
      </c>
      <c r="Q3820">
        <v>0</v>
      </c>
      <c r="R3820">
        <v>0</v>
      </c>
      <c r="S3820">
        <v>0</v>
      </c>
      <c r="T3820">
        <v>0</v>
      </c>
      <c r="V3820">
        <v>0</v>
      </c>
      <c r="W3820" t="s">
        <v>5281</v>
      </c>
    </row>
    <row r="3821" spans="1:23" x14ac:dyDescent="0.25">
      <c r="H3821">
        <v>703</v>
      </c>
    </row>
    <row r="3822" spans="1:23" x14ac:dyDescent="0.25">
      <c r="A3822">
        <v>1908</v>
      </c>
      <c r="B3822">
        <v>406</v>
      </c>
      <c r="C3822" t="s">
        <v>5282</v>
      </c>
      <c r="D3822" t="s">
        <v>873</v>
      </c>
      <c r="E3822" t="s">
        <v>326</v>
      </c>
      <c r="F3822" t="s">
        <v>5283</v>
      </c>
      <c r="G3822" t="str">
        <f>"201406002799"</f>
        <v>201406002799</v>
      </c>
      <c r="H3822" t="s">
        <v>202</v>
      </c>
      <c r="I3822">
        <v>0</v>
      </c>
      <c r="J3822">
        <v>30</v>
      </c>
      <c r="K3822">
        <v>0</v>
      </c>
      <c r="L3822">
        <v>0</v>
      </c>
      <c r="M3822">
        <v>0</v>
      </c>
      <c r="N3822">
        <v>0</v>
      </c>
      <c r="O3822">
        <v>0</v>
      </c>
      <c r="P3822">
        <v>0</v>
      </c>
      <c r="Q3822">
        <v>0</v>
      </c>
      <c r="R3822">
        <v>0</v>
      </c>
      <c r="S3822">
        <v>0</v>
      </c>
      <c r="T3822">
        <v>0</v>
      </c>
      <c r="V3822">
        <v>2</v>
      </c>
      <c r="W3822" t="s">
        <v>5284</v>
      </c>
    </row>
    <row r="3823" spans="1:23" x14ac:dyDescent="0.25">
      <c r="H3823">
        <v>703</v>
      </c>
    </row>
    <row r="3824" spans="1:23" x14ac:dyDescent="0.25">
      <c r="A3824">
        <v>1909</v>
      </c>
      <c r="B3824">
        <v>359</v>
      </c>
      <c r="C3824" t="s">
        <v>5285</v>
      </c>
      <c r="D3824" t="s">
        <v>912</v>
      </c>
      <c r="E3824" t="s">
        <v>105</v>
      </c>
      <c r="F3824" t="s">
        <v>5286</v>
      </c>
      <c r="G3824" t="str">
        <f>"201410004696"</f>
        <v>201410004696</v>
      </c>
      <c r="H3824" t="s">
        <v>202</v>
      </c>
      <c r="I3824">
        <v>0</v>
      </c>
      <c r="J3824">
        <v>30</v>
      </c>
      <c r="K3824">
        <v>0</v>
      </c>
      <c r="L3824">
        <v>0</v>
      </c>
      <c r="M3824">
        <v>0</v>
      </c>
      <c r="N3824">
        <v>0</v>
      </c>
      <c r="O3824">
        <v>0</v>
      </c>
      <c r="P3824">
        <v>0</v>
      </c>
      <c r="Q3824">
        <v>0</v>
      </c>
      <c r="R3824">
        <v>0</v>
      </c>
      <c r="S3824">
        <v>0</v>
      </c>
      <c r="T3824">
        <v>0</v>
      </c>
      <c r="V3824">
        <v>0</v>
      </c>
      <c r="W3824" t="s">
        <v>5284</v>
      </c>
    </row>
    <row r="3825" spans="1:23" x14ac:dyDescent="0.25">
      <c r="H3825">
        <v>703</v>
      </c>
    </row>
    <row r="3826" spans="1:23" x14ac:dyDescent="0.25">
      <c r="A3826">
        <v>1910</v>
      </c>
      <c r="B3826">
        <v>34</v>
      </c>
      <c r="C3826" t="s">
        <v>5287</v>
      </c>
      <c r="D3826" t="s">
        <v>423</v>
      </c>
      <c r="E3826" t="s">
        <v>15</v>
      </c>
      <c r="F3826" t="s">
        <v>5288</v>
      </c>
      <c r="G3826" t="str">
        <f>"00216002"</f>
        <v>00216002</v>
      </c>
      <c r="H3826" t="s">
        <v>202</v>
      </c>
      <c r="I3826">
        <v>0</v>
      </c>
      <c r="J3826">
        <v>30</v>
      </c>
      <c r="K3826">
        <v>0</v>
      </c>
      <c r="L3826">
        <v>0</v>
      </c>
      <c r="M3826">
        <v>0</v>
      </c>
      <c r="N3826">
        <v>0</v>
      </c>
      <c r="O3826">
        <v>0</v>
      </c>
      <c r="P3826">
        <v>0</v>
      </c>
      <c r="Q3826">
        <v>0</v>
      </c>
      <c r="R3826">
        <v>0</v>
      </c>
      <c r="S3826">
        <v>0</v>
      </c>
      <c r="T3826">
        <v>0</v>
      </c>
      <c r="V3826">
        <v>0</v>
      </c>
      <c r="W3826" t="s">
        <v>5284</v>
      </c>
    </row>
    <row r="3827" spans="1:23" x14ac:dyDescent="0.25">
      <c r="H3827">
        <v>703</v>
      </c>
    </row>
    <row r="3828" spans="1:23" x14ac:dyDescent="0.25">
      <c r="A3828">
        <v>1911</v>
      </c>
      <c r="B3828">
        <v>2081</v>
      </c>
      <c r="C3828" t="s">
        <v>5289</v>
      </c>
      <c r="D3828" t="s">
        <v>912</v>
      </c>
      <c r="E3828" t="s">
        <v>109</v>
      </c>
      <c r="F3828" t="s">
        <v>5290</v>
      </c>
      <c r="G3828" t="str">
        <f>"00201261"</f>
        <v>00201261</v>
      </c>
      <c r="H3828" t="s">
        <v>446</v>
      </c>
      <c r="I3828">
        <v>0</v>
      </c>
      <c r="J3828">
        <v>0</v>
      </c>
      <c r="K3828">
        <v>0</v>
      </c>
      <c r="L3828">
        <v>0</v>
      </c>
      <c r="M3828">
        <v>0</v>
      </c>
      <c r="N3828">
        <v>0</v>
      </c>
      <c r="O3828">
        <v>0</v>
      </c>
      <c r="P3828">
        <v>0</v>
      </c>
      <c r="Q3828">
        <v>0</v>
      </c>
      <c r="R3828">
        <v>7</v>
      </c>
      <c r="S3828">
        <v>49</v>
      </c>
      <c r="T3828">
        <v>0</v>
      </c>
      <c r="V3828">
        <v>3</v>
      </c>
      <c r="W3828" t="s">
        <v>5291</v>
      </c>
    </row>
    <row r="3829" spans="1:23" x14ac:dyDescent="0.25">
      <c r="H3829">
        <v>703</v>
      </c>
    </row>
    <row r="3830" spans="1:23" x14ac:dyDescent="0.25">
      <c r="A3830">
        <v>1912</v>
      </c>
      <c r="B3830">
        <v>2254</v>
      </c>
      <c r="C3830" t="s">
        <v>5292</v>
      </c>
      <c r="D3830" t="s">
        <v>1088</v>
      </c>
      <c r="E3830" t="s">
        <v>41</v>
      </c>
      <c r="F3830" t="s">
        <v>5293</v>
      </c>
      <c r="G3830" t="str">
        <f>"201511023252"</f>
        <v>201511023252</v>
      </c>
      <c r="H3830" t="s">
        <v>2186</v>
      </c>
      <c r="I3830">
        <v>150</v>
      </c>
      <c r="J3830">
        <v>0</v>
      </c>
      <c r="K3830">
        <v>0</v>
      </c>
      <c r="L3830">
        <v>0</v>
      </c>
      <c r="M3830">
        <v>0</v>
      </c>
      <c r="N3830">
        <v>0</v>
      </c>
      <c r="O3830">
        <v>0</v>
      </c>
      <c r="P3830">
        <v>0</v>
      </c>
      <c r="Q3830">
        <v>0</v>
      </c>
      <c r="R3830">
        <v>0</v>
      </c>
      <c r="S3830">
        <v>0</v>
      </c>
      <c r="T3830">
        <v>0</v>
      </c>
      <c r="V3830">
        <v>1</v>
      </c>
      <c r="W3830" t="s">
        <v>5294</v>
      </c>
    </row>
    <row r="3831" spans="1:23" x14ac:dyDescent="0.25">
      <c r="H3831">
        <v>703</v>
      </c>
    </row>
    <row r="3832" spans="1:23" x14ac:dyDescent="0.25">
      <c r="A3832">
        <v>1913</v>
      </c>
      <c r="B3832">
        <v>2028</v>
      </c>
      <c r="C3832" t="s">
        <v>907</v>
      </c>
      <c r="D3832" t="s">
        <v>1684</v>
      </c>
      <c r="E3832" t="s">
        <v>523</v>
      </c>
      <c r="F3832" t="s">
        <v>5295</v>
      </c>
      <c r="G3832" t="str">
        <f>"00127665"</f>
        <v>00127665</v>
      </c>
      <c r="H3832">
        <v>836</v>
      </c>
      <c r="I3832">
        <v>0</v>
      </c>
      <c r="J3832">
        <v>30</v>
      </c>
      <c r="K3832">
        <v>0</v>
      </c>
      <c r="L3832">
        <v>0</v>
      </c>
      <c r="M3832">
        <v>0</v>
      </c>
      <c r="N3832">
        <v>0</v>
      </c>
      <c r="O3832">
        <v>0</v>
      </c>
      <c r="P3832">
        <v>0</v>
      </c>
      <c r="Q3832">
        <v>0</v>
      </c>
      <c r="R3832">
        <v>21</v>
      </c>
      <c r="S3832">
        <v>147</v>
      </c>
      <c r="T3832">
        <v>0</v>
      </c>
      <c r="V3832">
        <v>0</v>
      </c>
      <c r="W3832">
        <v>1013</v>
      </c>
    </row>
    <row r="3833" spans="1:23" x14ac:dyDescent="0.25">
      <c r="H3833" t="s">
        <v>70</v>
      </c>
    </row>
    <row r="3834" spans="1:23" x14ac:dyDescent="0.25">
      <c r="A3834">
        <v>1914</v>
      </c>
      <c r="B3834">
        <v>27</v>
      </c>
      <c r="C3834" t="s">
        <v>5296</v>
      </c>
      <c r="D3834" t="s">
        <v>140</v>
      </c>
      <c r="E3834" t="s">
        <v>607</v>
      </c>
      <c r="F3834" t="s">
        <v>5297</v>
      </c>
      <c r="G3834" t="str">
        <f>"00137164"</f>
        <v>00137164</v>
      </c>
      <c r="H3834" t="s">
        <v>5298</v>
      </c>
      <c r="I3834">
        <v>0</v>
      </c>
      <c r="J3834">
        <v>70</v>
      </c>
      <c r="K3834">
        <v>0</v>
      </c>
      <c r="L3834">
        <v>0</v>
      </c>
      <c r="M3834">
        <v>0</v>
      </c>
      <c r="N3834">
        <v>0</v>
      </c>
      <c r="O3834">
        <v>0</v>
      </c>
      <c r="P3834">
        <v>0</v>
      </c>
      <c r="Q3834">
        <v>0</v>
      </c>
      <c r="R3834">
        <v>8</v>
      </c>
      <c r="S3834">
        <v>56</v>
      </c>
      <c r="T3834">
        <v>0</v>
      </c>
      <c r="V3834">
        <v>0</v>
      </c>
      <c r="W3834" t="s">
        <v>5299</v>
      </c>
    </row>
    <row r="3835" spans="1:23" x14ac:dyDescent="0.25">
      <c r="H3835">
        <v>703</v>
      </c>
    </row>
    <row r="3836" spans="1:23" x14ac:dyDescent="0.25">
      <c r="A3836">
        <v>1915</v>
      </c>
      <c r="B3836">
        <v>1854</v>
      </c>
      <c r="C3836" t="s">
        <v>4763</v>
      </c>
      <c r="D3836" t="s">
        <v>58</v>
      </c>
      <c r="E3836" t="s">
        <v>424</v>
      </c>
      <c r="F3836" t="s">
        <v>5300</v>
      </c>
      <c r="G3836" t="str">
        <f>"201410011140"</f>
        <v>201410011140</v>
      </c>
      <c r="H3836" t="s">
        <v>2824</v>
      </c>
      <c r="I3836">
        <v>150</v>
      </c>
      <c r="J3836">
        <v>0</v>
      </c>
      <c r="K3836">
        <v>0</v>
      </c>
      <c r="L3836">
        <v>0</v>
      </c>
      <c r="M3836">
        <v>0</v>
      </c>
      <c r="N3836">
        <v>0</v>
      </c>
      <c r="O3836">
        <v>0</v>
      </c>
      <c r="P3836">
        <v>0</v>
      </c>
      <c r="Q3836">
        <v>0</v>
      </c>
      <c r="R3836">
        <v>0</v>
      </c>
      <c r="S3836">
        <v>0</v>
      </c>
      <c r="T3836">
        <v>0</v>
      </c>
      <c r="V3836">
        <v>0</v>
      </c>
      <c r="W3836" t="s">
        <v>5301</v>
      </c>
    </row>
    <row r="3837" spans="1:23" x14ac:dyDescent="0.25">
      <c r="H3837">
        <v>703</v>
      </c>
    </row>
    <row r="3838" spans="1:23" x14ac:dyDescent="0.25">
      <c r="A3838">
        <v>1916</v>
      </c>
      <c r="B3838">
        <v>2026</v>
      </c>
      <c r="C3838" t="s">
        <v>5302</v>
      </c>
      <c r="D3838" t="s">
        <v>109</v>
      </c>
      <c r="E3838" t="s">
        <v>37</v>
      </c>
      <c r="F3838" t="s">
        <v>5303</v>
      </c>
      <c r="G3838" t="str">
        <f>"00229675"</f>
        <v>00229675</v>
      </c>
      <c r="H3838" t="s">
        <v>3317</v>
      </c>
      <c r="I3838">
        <v>0</v>
      </c>
      <c r="J3838">
        <v>30</v>
      </c>
      <c r="K3838">
        <v>0</v>
      </c>
      <c r="L3838">
        <v>0</v>
      </c>
      <c r="M3838">
        <v>0</v>
      </c>
      <c r="N3838">
        <v>0</v>
      </c>
      <c r="O3838">
        <v>0</v>
      </c>
      <c r="P3838">
        <v>0</v>
      </c>
      <c r="Q3838">
        <v>0</v>
      </c>
      <c r="R3838">
        <v>36</v>
      </c>
      <c r="S3838">
        <v>252</v>
      </c>
      <c r="T3838">
        <v>0</v>
      </c>
      <c r="V3838">
        <v>0</v>
      </c>
      <c r="W3838" t="s">
        <v>5301</v>
      </c>
    </row>
    <row r="3839" spans="1:23" x14ac:dyDescent="0.25">
      <c r="H3839">
        <v>703</v>
      </c>
    </row>
    <row r="3840" spans="1:23" x14ac:dyDescent="0.25">
      <c r="A3840">
        <v>1917</v>
      </c>
      <c r="B3840">
        <v>948</v>
      </c>
      <c r="C3840" t="s">
        <v>5304</v>
      </c>
      <c r="D3840" t="s">
        <v>67</v>
      </c>
      <c r="E3840" t="s">
        <v>5305</v>
      </c>
      <c r="F3840" t="s">
        <v>5306</v>
      </c>
      <c r="G3840" t="str">
        <f>"00227948"</f>
        <v>00227948</v>
      </c>
      <c r="H3840" t="s">
        <v>1690</v>
      </c>
      <c r="I3840">
        <v>0</v>
      </c>
      <c r="J3840">
        <v>30</v>
      </c>
      <c r="K3840">
        <v>0</v>
      </c>
      <c r="L3840">
        <v>0</v>
      </c>
      <c r="M3840">
        <v>0</v>
      </c>
      <c r="N3840">
        <v>0</v>
      </c>
      <c r="O3840">
        <v>0</v>
      </c>
      <c r="P3840">
        <v>0</v>
      </c>
      <c r="Q3840">
        <v>0</v>
      </c>
      <c r="R3840">
        <v>18</v>
      </c>
      <c r="S3840">
        <v>126</v>
      </c>
      <c r="T3840">
        <v>0</v>
      </c>
      <c r="V3840">
        <v>2</v>
      </c>
      <c r="W3840" t="s">
        <v>5307</v>
      </c>
    </row>
    <row r="3841" spans="1:23" x14ac:dyDescent="0.25">
      <c r="H3841" t="s">
        <v>26</v>
      </c>
    </row>
    <row r="3842" spans="1:23" x14ac:dyDescent="0.25">
      <c r="A3842">
        <v>1918</v>
      </c>
      <c r="B3842">
        <v>1445</v>
      </c>
      <c r="C3842" t="s">
        <v>5308</v>
      </c>
      <c r="D3842" t="s">
        <v>5309</v>
      </c>
      <c r="E3842" t="s">
        <v>1350</v>
      </c>
      <c r="F3842" t="s">
        <v>5310</v>
      </c>
      <c r="G3842" t="str">
        <f>"00079421"</f>
        <v>00079421</v>
      </c>
      <c r="H3842" t="s">
        <v>531</v>
      </c>
      <c r="I3842">
        <v>0</v>
      </c>
      <c r="J3842">
        <v>70</v>
      </c>
      <c r="K3842">
        <v>0</v>
      </c>
      <c r="L3842">
        <v>0</v>
      </c>
      <c r="M3842">
        <v>0</v>
      </c>
      <c r="N3842">
        <v>0</v>
      </c>
      <c r="O3842">
        <v>0</v>
      </c>
      <c r="P3842">
        <v>0</v>
      </c>
      <c r="Q3842">
        <v>0</v>
      </c>
      <c r="R3842">
        <v>0</v>
      </c>
      <c r="S3842">
        <v>0</v>
      </c>
      <c r="T3842">
        <v>0</v>
      </c>
      <c r="V3842">
        <v>0</v>
      </c>
      <c r="W3842" t="s">
        <v>5311</v>
      </c>
    </row>
    <row r="3843" spans="1:23" x14ac:dyDescent="0.25">
      <c r="H3843">
        <v>703</v>
      </c>
    </row>
    <row r="3844" spans="1:23" x14ac:dyDescent="0.25">
      <c r="A3844">
        <v>1919</v>
      </c>
      <c r="B3844">
        <v>2775</v>
      </c>
      <c r="C3844" t="s">
        <v>5312</v>
      </c>
      <c r="D3844" t="s">
        <v>105</v>
      </c>
      <c r="E3844" t="s">
        <v>62</v>
      </c>
      <c r="F3844" t="s">
        <v>5313</v>
      </c>
      <c r="G3844" t="str">
        <f>"201004000122"</f>
        <v>201004000122</v>
      </c>
      <c r="H3844" t="s">
        <v>2431</v>
      </c>
      <c r="I3844">
        <v>0</v>
      </c>
      <c r="J3844">
        <v>0</v>
      </c>
      <c r="K3844">
        <v>0</v>
      </c>
      <c r="L3844">
        <v>0</v>
      </c>
      <c r="M3844">
        <v>0</v>
      </c>
      <c r="N3844">
        <v>0</v>
      </c>
      <c r="O3844">
        <v>0</v>
      </c>
      <c r="P3844">
        <v>0</v>
      </c>
      <c r="Q3844">
        <v>0</v>
      </c>
      <c r="R3844">
        <v>43</v>
      </c>
      <c r="S3844">
        <v>301</v>
      </c>
      <c r="T3844">
        <v>0</v>
      </c>
      <c r="V3844">
        <v>0</v>
      </c>
      <c r="W3844" t="s">
        <v>5311</v>
      </c>
    </row>
    <row r="3845" spans="1:23" x14ac:dyDescent="0.25">
      <c r="H3845">
        <v>703</v>
      </c>
    </row>
    <row r="3846" spans="1:23" x14ac:dyDescent="0.25">
      <c r="A3846">
        <v>1920</v>
      </c>
      <c r="B3846">
        <v>2038</v>
      </c>
      <c r="C3846" t="s">
        <v>5314</v>
      </c>
      <c r="D3846" t="s">
        <v>207</v>
      </c>
      <c r="E3846" t="s">
        <v>607</v>
      </c>
      <c r="F3846" t="s">
        <v>5315</v>
      </c>
      <c r="G3846" t="str">
        <f>"00220154"</f>
        <v>00220154</v>
      </c>
      <c r="H3846">
        <v>924</v>
      </c>
      <c r="I3846">
        <v>0</v>
      </c>
      <c r="J3846">
        <v>30</v>
      </c>
      <c r="K3846">
        <v>0</v>
      </c>
      <c r="L3846">
        <v>0</v>
      </c>
      <c r="M3846">
        <v>0</v>
      </c>
      <c r="N3846">
        <v>0</v>
      </c>
      <c r="O3846">
        <v>0</v>
      </c>
      <c r="P3846">
        <v>0</v>
      </c>
      <c r="Q3846">
        <v>0</v>
      </c>
      <c r="R3846">
        <v>8</v>
      </c>
      <c r="S3846">
        <v>56</v>
      </c>
      <c r="T3846">
        <v>0</v>
      </c>
      <c r="V3846">
        <v>2</v>
      </c>
      <c r="W3846">
        <v>1010</v>
      </c>
    </row>
    <row r="3847" spans="1:23" x14ac:dyDescent="0.25">
      <c r="H3847">
        <v>703</v>
      </c>
    </row>
    <row r="3848" spans="1:23" x14ac:dyDescent="0.25">
      <c r="A3848">
        <v>1921</v>
      </c>
      <c r="B3848">
        <v>1238</v>
      </c>
      <c r="C3848" t="s">
        <v>5025</v>
      </c>
      <c r="D3848" t="s">
        <v>46</v>
      </c>
      <c r="E3848" t="s">
        <v>62</v>
      </c>
      <c r="F3848" t="s">
        <v>5316</v>
      </c>
      <c r="G3848" t="str">
        <f>"00162372"</f>
        <v>00162372</v>
      </c>
      <c r="H3848">
        <v>924</v>
      </c>
      <c r="I3848">
        <v>0</v>
      </c>
      <c r="J3848">
        <v>30</v>
      </c>
      <c r="K3848">
        <v>0</v>
      </c>
      <c r="L3848">
        <v>0</v>
      </c>
      <c r="M3848">
        <v>0</v>
      </c>
      <c r="N3848">
        <v>0</v>
      </c>
      <c r="O3848">
        <v>0</v>
      </c>
      <c r="P3848">
        <v>0</v>
      </c>
      <c r="Q3848">
        <v>0</v>
      </c>
      <c r="R3848">
        <v>8</v>
      </c>
      <c r="S3848">
        <v>56</v>
      </c>
      <c r="T3848">
        <v>0</v>
      </c>
      <c r="V3848">
        <v>0</v>
      </c>
      <c r="W3848">
        <v>1010</v>
      </c>
    </row>
    <row r="3849" spans="1:23" x14ac:dyDescent="0.25">
      <c r="H3849">
        <v>703</v>
      </c>
    </row>
    <row r="3850" spans="1:23" x14ac:dyDescent="0.25">
      <c r="A3850">
        <v>1922</v>
      </c>
      <c r="B3850">
        <v>2624</v>
      </c>
      <c r="C3850" t="s">
        <v>1756</v>
      </c>
      <c r="D3850" t="s">
        <v>61</v>
      </c>
      <c r="E3850" t="s">
        <v>105</v>
      </c>
      <c r="F3850" t="s">
        <v>5317</v>
      </c>
      <c r="G3850" t="str">
        <f>"201511009099"</f>
        <v>201511009099</v>
      </c>
      <c r="H3850">
        <v>979</v>
      </c>
      <c r="I3850">
        <v>0</v>
      </c>
      <c r="J3850">
        <v>30</v>
      </c>
      <c r="K3850">
        <v>0</v>
      </c>
      <c r="L3850">
        <v>0</v>
      </c>
      <c r="M3850">
        <v>0</v>
      </c>
      <c r="N3850">
        <v>0</v>
      </c>
      <c r="O3850">
        <v>0</v>
      </c>
      <c r="P3850">
        <v>0</v>
      </c>
      <c r="Q3850">
        <v>0</v>
      </c>
      <c r="R3850">
        <v>0</v>
      </c>
      <c r="S3850">
        <v>0</v>
      </c>
      <c r="T3850">
        <v>0</v>
      </c>
      <c r="V3850">
        <v>2</v>
      </c>
      <c r="W3850">
        <v>1009</v>
      </c>
    </row>
    <row r="3851" spans="1:23" x14ac:dyDescent="0.25">
      <c r="H3851">
        <v>703</v>
      </c>
    </row>
    <row r="3852" spans="1:23" x14ac:dyDescent="0.25">
      <c r="A3852">
        <v>1923</v>
      </c>
      <c r="B3852">
        <v>1767</v>
      </c>
      <c r="C3852" t="s">
        <v>5318</v>
      </c>
      <c r="D3852" t="s">
        <v>5319</v>
      </c>
      <c r="E3852" t="s">
        <v>15</v>
      </c>
      <c r="F3852" t="s">
        <v>5320</v>
      </c>
      <c r="G3852" t="str">
        <f>"201406000129"</f>
        <v>201406000129</v>
      </c>
      <c r="H3852">
        <v>979</v>
      </c>
      <c r="I3852">
        <v>0</v>
      </c>
      <c r="J3852">
        <v>30</v>
      </c>
      <c r="K3852">
        <v>0</v>
      </c>
      <c r="L3852">
        <v>0</v>
      </c>
      <c r="M3852">
        <v>0</v>
      </c>
      <c r="N3852">
        <v>0</v>
      </c>
      <c r="O3852">
        <v>0</v>
      </c>
      <c r="P3852">
        <v>0</v>
      </c>
      <c r="Q3852">
        <v>0</v>
      </c>
      <c r="R3852">
        <v>0</v>
      </c>
      <c r="S3852">
        <v>0</v>
      </c>
      <c r="T3852">
        <v>0</v>
      </c>
      <c r="V3852">
        <v>0</v>
      </c>
      <c r="W3852">
        <v>1009</v>
      </c>
    </row>
    <row r="3853" spans="1:23" x14ac:dyDescent="0.25">
      <c r="H3853">
        <v>703</v>
      </c>
    </row>
    <row r="3854" spans="1:23" x14ac:dyDescent="0.25">
      <c r="A3854">
        <v>1924</v>
      </c>
      <c r="B3854">
        <v>478</v>
      </c>
      <c r="C3854" t="s">
        <v>5321</v>
      </c>
      <c r="D3854" t="s">
        <v>67</v>
      </c>
      <c r="E3854" t="s">
        <v>654</v>
      </c>
      <c r="F3854" t="s">
        <v>5322</v>
      </c>
      <c r="G3854" t="str">
        <f>"201511031179"</f>
        <v>201511031179</v>
      </c>
      <c r="H3854">
        <v>979</v>
      </c>
      <c r="I3854">
        <v>0</v>
      </c>
      <c r="J3854">
        <v>30</v>
      </c>
      <c r="K3854">
        <v>0</v>
      </c>
      <c r="L3854">
        <v>0</v>
      </c>
      <c r="M3854">
        <v>0</v>
      </c>
      <c r="N3854">
        <v>0</v>
      </c>
      <c r="O3854">
        <v>0</v>
      </c>
      <c r="P3854">
        <v>0</v>
      </c>
      <c r="Q3854">
        <v>0</v>
      </c>
      <c r="R3854">
        <v>0</v>
      </c>
      <c r="S3854">
        <v>0</v>
      </c>
      <c r="T3854">
        <v>0</v>
      </c>
      <c r="V3854">
        <v>0</v>
      </c>
      <c r="W3854">
        <v>1009</v>
      </c>
    </row>
    <row r="3855" spans="1:23" x14ac:dyDescent="0.25">
      <c r="H3855">
        <v>703</v>
      </c>
    </row>
    <row r="3856" spans="1:23" x14ac:dyDescent="0.25">
      <c r="A3856">
        <v>1925</v>
      </c>
      <c r="B3856">
        <v>338</v>
      </c>
      <c r="C3856" t="s">
        <v>5323</v>
      </c>
      <c r="D3856" t="s">
        <v>1088</v>
      </c>
      <c r="E3856" t="s">
        <v>41</v>
      </c>
      <c r="F3856" t="s">
        <v>5324</v>
      </c>
      <c r="G3856" t="str">
        <f>"00114280"</f>
        <v>00114280</v>
      </c>
      <c r="H3856">
        <v>902</v>
      </c>
      <c r="I3856">
        <v>0</v>
      </c>
      <c r="J3856">
        <v>30</v>
      </c>
      <c r="K3856">
        <v>0</v>
      </c>
      <c r="L3856">
        <v>0</v>
      </c>
      <c r="M3856">
        <v>0</v>
      </c>
      <c r="N3856">
        <v>0</v>
      </c>
      <c r="O3856">
        <v>0</v>
      </c>
      <c r="P3856">
        <v>0</v>
      </c>
      <c r="Q3856">
        <v>0</v>
      </c>
      <c r="R3856">
        <v>11</v>
      </c>
      <c r="S3856">
        <v>77</v>
      </c>
      <c r="T3856">
        <v>0</v>
      </c>
      <c r="V3856">
        <v>0</v>
      </c>
      <c r="W3856">
        <v>1009</v>
      </c>
    </row>
    <row r="3857" spans="1:23" x14ac:dyDescent="0.25">
      <c r="H3857">
        <v>703</v>
      </c>
    </row>
    <row r="3858" spans="1:23" x14ac:dyDescent="0.25">
      <c r="A3858">
        <v>1926</v>
      </c>
      <c r="B3858">
        <v>2423</v>
      </c>
      <c r="C3858" t="s">
        <v>5325</v>
      </c>
      <c r="D3858" t="s">
        <v>4055</v>
      </c>
      <c r="E3858" t="s">
        <v>1633</v>
      </c>
      <c r="F3858" t="s">
        <v>5326</v>
      </c>
      <c r="G3858" t="str">
        <f>"00042587"</f>
        <v>00042587</v>
      </c>
      <c r="H3858" t="s">
        <v>1359</v>
      </c>
      <c r="I3858">
        <v>0</v>
      </c>
      <c r="J3858">
        <v>70</v>
      </c>
      <c r="K3858">
        <v>30</v>
      </c>
      <c r="L3858">
        <v>0</v>
      </c>
      <c r="M3858">
        <v>0</v>
      </c>
      <c r="N3858">
        <v>0</v>
      </c>
      <c r="O3858">
        <v>0</v>
      </c>
      <c r="P3858">
        <v>0</v>
      </c>
      <c r="Q3858">
        <v>0</v>
      </c>
      <c r="R3858">
        <v>8</v>
      </c>
      <c r="S3858">
        <v>56</v>
      </c>
      <c r="T3858">
        <v>0</v>
      </c>
      <c r="V3858">
        <v>0</v>
      </c>
      <c r="W3858" t="s">
        <v>5327</v>
      </c>
    </row>
    <row r="3859" spans="1:23" x14ac:dyDescent="0.25">
      <c r="H3859" t="s">
        <v>70</v>
      </c>
    </row>
    <row r="3860" spans="1:23" x14ac:dyDescent="0.25">
      <c r="A3860">
        <v>1927</v>
      </c>
      <c r="B3860">
        <v>2453</v>
      </c>
      <c r="C3860" t="s">
        <v>5328</v>
      </c>
      <c r="D3860" t="s">
        <v>46</v>
      </c>
      <c r="E3860" t="s">
        <v>41</v>
      </c>
      <c r="F3860" t="s">
        <v>5329</v>
      </c>
      <c r="G3860" t="str">
        <f>"201511017726"</f>
        <v>201511017726</v>
      </c>
      <c r="H3860" t="s">
        <v>594</v>
      </c>
      <c r="I3860">
        <v>0</v>
      </c>
      <c r="J3860">
        <v>30</v>
      </c>
      <c r="K3860">
        <v>0</v>
      </c>
      <c r="L3860">
        <v>0</v>
      </c>
      <c r="M3860">
        <v>0</v>
      </c>
      <c r="N3860">
        <v>0</v>
      </c>
      <c r="O3860">
        <v>0</v>
      </c>
      <c r="P3860">
        <v>0</v>
      </c>
      <c r="Q3860">
        <v>0</v>
      </c>
      <c r="R3860">
        <v>0</v>
      </c>
      <c r="S3860">
        <v>0</v>
      </c>
      <c r="T3860">
        <v>0</v>
      </c>
      <c r="V3860">
        <v>1</v>
      </c>
      <c r="W3860" t="s">
        <v>5330</v>
      </c>
    </row>
    <row r="3861" spans="1:23" x14ac:dyDescent="0.25">
      <c r="H3861">
        <v>703</v>
      </c>
    </row>
    <row r="3862" spans="1:23" x14ac:dyDescent="0.25">
      <c r="A3862">
        <v>1928</v>
      </c>
      <c r="B3862">
        <v>1707</v>
      </c>
      <c r="C3862" t="s">
        <v>5331</v>
      </c>
      <c r="D3862" t="s">
        <v>3292</v>
      </c>
      <c r="E3862" t="s">
        <v>53</v>
      </c>
      <c r="F3862" t="s">
        <v>5332</v>
      </c>
      <c r="G3862" t="str">
        <f>"00223266"</f>
        <v>00223266</v>
      </c>
      <c r="H3862" t="s">
        <v>1049</v>
      </c>
      <c r="I3862">
        <v>0</v>
      </c>
      <c r="J3862">
        <v>30</v>
      </c>
      <c r="K3862">
        <v>0</v>
      </c>
      <c r="L3862">
        <v>0</v>
      </c>
      <c r="M3862">
        <v>0</v>
      </c>
      <c r="N3862">
        <v>0</v>
      </c>
      <c r="O3862">
        <v>70</v>
      </c>
      <c r="P3862">
        <v>0</v>
      </c>
      <c r="Q3862">
        <v>0</v>
      </c>
      <c r="R3862">
        <v>0</v>
      </c>
      <c r="S3862">
        <v>0</v>
      </c>
      <c r="T3862">
        <v>0</v>
      </c>
      <c r="V3862">
        <v>0</v>
      </c>
      <c r="W3862" t="s">
        <v>5333</v>
      </c>
    </row>
    <row r="3863" spans="1:23" x14ac:dyDescent="0.25">
      <c r="H3863" t="s">
        <v>26</v>
      </c>
    </row>
    <row r="3864" spans="1:23" x14ac:dyDescent="0.25">
      <c r="A3864">
        <v>1929</v>
      </c>
      <c r="B3864">
        <v>711</v>
      </c>
      <c r="C3864" t="s">
        <v>5334</v>
      </c>
      <c r="D3864" t="s">
        <v>350</v>
      </c>
      <c r="E3864" t="s">
        <v>79</v>
      </c>
      <c r="F3864" t="s">
        <v>5335</v>
      </c>
      <c r="G3864" t="str">
        <f>"201511013039"</f>
        <v>201511013039</v>
      </c>
      <c r="H3864">
        <v>935</v>
      </c>
      <c r="I3864">
        <v>0</v>
      </c>
      <c r="J3864">
        <v>30</v>
      </c>
      <c r="K3864">
        <v>0</v>
      </c>
      <c r="L3864">
        <v>0</v>
      </c>
      <c r="M3864">
        <v>0</v>
      </c>
      <c r="N3864">
        <v>0</v>
      </c>
      <c r="O3864">
        <v>0</v>
      </c>
      <c r="P3864">
        <v>0</v>
      </c>
      <c r="Q3864">
        <v>0</v>
      </c>
      <c r="R3864">
        <v>6</v>
      </c>
      <c r="S3864">
        <v>42</v>
      </c>
      <c r="T3864">
        <v>0</v>
      </c>
      <c r="V3864">
        <v>0</v>
      </c>
      <c r="W3864">
        <v>1007</v>
      </c>
    </row>
    <row r="3865" spans="1:23" x14ac:dyDescent="0.25">
      <c r="H3865">
        <v>703</v>
      </c>
    </row>
    <row r="3866" spans="1:23" x14ac:dyDescent="0.25">
      <c r="A3866">
        <v>1930</v>
      </c>
      <c r="B3866">
        <v>1670</v>
      </c>
      <c r="C3866" t="s">
        <v>5336</v>
      </c>
      <c r="D3866" t="s">
        <v>28</v>
      </c>
      <c r="E3866" t="s">
        <v>99</v>
      </c>
      <c r="F3866" t="s">
        <v>5337</v>
      </c>
      <c r="G3866" t="str">
        <f>"00210178"</f>
        <v>00210178</v>
      </c>
      <c r="H3866" t="s">
        <v>3345</v>
      </c>
      <c r="I3866">
        <v>150</v>
      </c>
      <c r="J3866">
        <v>0</v>
      </c>
      <c r="K3866">
        <v>0</v>
      </c>
      <c r="L3866">
        <v>0</v>
      </c>
      <c r="M3866">
        <v>0</v>
      </c>
      <c r="N3866">
        <v>0</v>
      </c>
      <c r="O3866">
        <v>0</v>
      </c>
      <c r="P3866">
        <v>0</v>
      </c>
      <c r="Q3866">
        <v>0</v>
      </c>
      <c r="R3866">
        <v>19</v>
      </c>
      <c r="S3866">
        <v>133</v>
      </c>
      <c r="T3866">
        <v>0</v>
      </c>
      <c r="V3866">
        <v>2</v>
      </c>
      <c r="W3866" t="s">
        <v>5338</v>
      </c>
    </row>
    <row r="3867" spans="1:23" x14ac:dyDescent="0.25">
      <c r="H3867">
        <v>703</v>
      </c>
    </row>
    <row r="3868" spans="1:23" x14ac:dyDescent="0.25">
      <c r="A3868">
        <v>1931</v>
      </c>
      <c r="B3868">
        <v>764</v>
      </c>
      <c r="C3868" t="s">
        <v>5339</v>
      </c>
      <c r="D3868" t="s">
        <v>4055</v>
      </c>
      <c r="E3868" t="s">
        <v>53</v>
      </c>
      <c r="F3868" t="s">
        <v>5340</v>
      </c>
      <c r="G3868" t="str">
        <f>"00223393"</f>
        <v>00223393</v>
      </c>
      <c r="H3868" t="s">
        <v>202</v>
      </c>
      <c r="I3868">
        <v>0</v>
      </c>
      <c r="J3868">
        <v>0</v>
      </c>
      <c r="K3868">
        <v>0</v>
      </c>
      <c r="L3868">
        <v>0</v>
      </c>
      <c r="M3868">
        <v>0</v>
      </c>
      <c r="N3868">
        <v>0</v>
      </c>
      <c r="O3868">
        <v>0</v>
      </c>
      <c r="P3868">
        <v>0</v>
      </c>
      <c r="Q3868">
        <v>0</v>
      </c>
      <c r="R3868">
        <v>3</v>
      </c>
      <c r="S3868">
        <v>21</v>
      </c>
      <c r="T3868">
        <v>0</v>
      </c>
      <c r="V3868">
        <v>0</v>
      </c>
      <c r="W3868" t="s">
        <v>5341</v>
      </c>
    </row>
    <row r="3869" spans="1:23" x14ac:dyDescent="0.25">
      <c r="H3869" t="s">
        <v>26</v>
      </c>
    </row>
    <row r="3870" spans="1:23" x14ac:dyDescent="0.25">
      <c r="A3870">
        <v>1932</v>
      </c>
      <c r="B3870">
        <v>894</v>
      </c>
      <c r="C3870" t="s">
        <v>5342</v>
      </c>
      <c r="D3870" t="s">
        <v>5343</v>
      </c>
      <c r="E3870" t="s">
        <v>109</v>
      </c>
      <c r="F3870" t="s">
        <v>5344</v>
      </c>
      <c r="G3870" t="str">
        <f>"201511037033"</f>
        <v>201511037033</v>
      </c>
      <c r="H3870">
        <v>825</v>
      </c>
      <c r="I3870">
        <v>150</v>
      </c>
      <c r="J3870">
        <v>30</v>
      </c>
      <c r="K3870">
        <v>0</v>
      </c>
      <c r="L3870">
        <v>0</v>
      </c>
      <c r="M3870">
        <v>0</v>
      </c>
      <c r="N3870">
        <v>0</v>
      </c>
      <c r="O3870">
        <v>0</v>
      </c>
      <c r="P3870">
        <v>0</v>
      </c>
      <c r="Q3870">
        <v>0</v>
      </c>
      <c r="R3870">
        <v>0</v>
      </c>
      <c r="S3870">
        <v>0</v>
      </c>
      <c r="T3870">
        <v>0</v>
      </c>
      <c r="V3870">
        <v>2</v>
      </c>
      <c r="W3870">
        <v>1005</v>
      </c>
    </row>
    <row r="3871" spans="1:23" x14ac:dyDescent="0.25">
      <c r="H3871">
        <v>703</v>
      </c>
    </row>
    <row r="3872" spans="1:23" x14ac:dyDescent="0.25">
      <c r="A3872">
        <v>1933</v>
      </c>
      <c r="B3872">
        <v>1788</v>
      </c>
      <c r="C3872" t="s">
        <v>5345</v>
      </c>
      <c r="D3872" t="s">
        <v>112</v>
      </c>
      <c r="E3872" t="s">
        <v>135</v>
      </c>
      <c r="F3872" t="s">
        <v>5346</v>
      </c>
      <c r="G3872" t="str">
        <f>"201504001081"</f>
        <v>201504001081</v>
      </c>
      <c r="H3872" t="s">
        <v>3108</v>
      </c>
      <c r="I3872">
        <v>0</v>
      </c>
      <c r="J3872">
        <v>30</v>
      </c>
      <c r="K3872">
        <v>0</v>
      </c>
      <c r="L3872">
        <v>0</v>
      </c>
      <c r="M3872">
        <v>0</v>
      </c>
      <c r="N3872">
        <v>0</v>
      </c>
      <c r="O3872">
        <v>0</v>
      </c>
      <c r="P3872">
        <v>0</v>
      </c>
      <c r="Q3872">
        <v>0</v>
      </c>
      <c r="R3872">
        <v>30</v>
      </c>
      <c r="S3872">
        <v>210</v>
      </c>
      <c r="T3872">
        <v>0</v>
      </c>
      <c r="V3872">
        <v>0</v>
      </c>
      <c r="W3872" t="s">
        <v>5347</v>
      </c>
    </row>
    <row r="3873" spans="1:23" x14ac:dyDescent="0.25">
      <c r="H3873" t="s">
        <v>70</v>
      </c>
    </row>
    <row r="3874" spans="1:23" x14ac:dyDescent="0.25">
      <c r="A3874">
        <v>1934</v>
      </c>
      <c r="B3874">
        <v>2103</v>
      </c>
      <c r="C3874" t="s">
        <v>1175</v>
      </c>
      <c r="D3874" t="s">
        <v>1338</v>
      </c>
      <c r="E3874" t="s">
        <v>99</v>
      </c>
      <c r="F3874" t="s">
        <v>5348</v>
      </c>
      <c r="G3874" t="str">
        <f>"201511030818"</f>
        <v>201511030818</v>
      </c>
      <c r="H3874" t="s">
        <v>1803</v>
      </c>
      <c r="I3874">
        <v>0</v>
      </c>
      <c r="J3874">
        <v>70</v>
      </c>
      <c r="K3874">
        <v>0</v>
      </c>
      <c r="L3874">
        <v>0</v>
      </c>
      <c r="M3874">
        <v>0</v>
      </c>
      <c r="N3874">
        <v>30</v>
      </c>
      <c r="O3874">
        <v>0</v>
      </c>
      <c r="P3874">
        <v>0</v>
      </c>
      <c r="Q3874">
        <v>0</v>
      </c>
      <c r="R3874">
        <v>0</v>
      </c>
      <c r="S3874">
        <v>0</v>
      </c>
      <c r="T3874">
        <v>0</v>
      </c>
      <c r="V3874">
        <v>1</v>
      </c>
      <c r="W3874" t="s">
        <v>5349</v>
      </c>
    </row>
    <row r="3875" spans="1:23" x14ac:dyDescent="0.25">
      <c r="H3875" t="s">
        <v>70</v>
      </c>
    </row>
    <row r="3876" spans="1:23" x14ac:dyDescent="0.25">
      <c r="A3876">
        <v>1935</v>
      </c>
      <c r="B3876">
        <v>1083</v>
      </c>
      <c r="C3876" t="s">
        <v>5350</v>
      </c>
      <c r="D3876" t="s">
        <v>811</v>
      </c>
      <c r="E3876" t="s">
        <v>423</v>
      </c>
      <c r="F3876" t="s">
        <v>5351</v>
      </c>
      <c r="G3876" t="str">
        <f>"00224566"</f>
        <v>00224566</v>
      </c>
      <c r="H3876" t="s">
        <v>458</v>
      </c>
      <c r="I3876">
        <v>0</v>
      </c>
      <c r="J3876">
        <v>30</v>
      </c>
      <c r="K3876">
        <v>0</v>
      </c>
      <c r="L3876">
        <v>0</v>
      </c>
      <c r="M3876">
        <v>0</v>
      </c>
      <c r="N3876">
        <v>0</v>
      </c>
      <c r="O3876">
        <v>0</v>
      </c>
      <c r="P3876">
        <v>0</v>
      </c>
      <c r="Q3876">
        <v>0</v>
      </c>
      <c r="R3876">
        <v>0</v>
      </c>
      <c r="S3876">
        <v>0</v>
      </c>
      <c r="T3876">
        <v>0</v>
      </c>
      <c r="V3876">
        <v>0</v>
      </c>
      <c r="W3876" t="s">
        <v>5352</v>
      </c>
    </row>
    <row r="3877" spans="1:23" x14ac:dyDescent="0.25">
      <c r="H3877">
        <v>703</v>
      </c>
    </row>
    <row r="3878" spans="1:23" x14ac:dyDescent="0.25">
      <c r="A3878">
        <v>1936</v>
      </c>
      <c r="B3878">
        <v>1875</v>
      </c>
      <c r="C3878" t="s">
        <v>5353</v>
      </c>
      <c r="D3878" t="s">
        <v>2336</v>
      </c>
      <c r="E3878" t="s">
        <v>62</v>
      </c>
      <c r="F3878" t="s">
        <v>5354</v>
      </c>
      <c r="G3878" t="str">
        <f>"201511032315"</f>
        <v>201511032315</v>
      </c>
      <c r="H3878" t="s">
        <v>458</v>
      </c>
      <c r="I3878">
        <v>0</v>
      </c>
      <c r="J3878">
        <v>30</v>
      </c>
      <c r="K3878">
        <v>0</v>
      </c>
      <c r="L3878">
        <v>0</v>
      </c>
      <c r="M3878">
        <v>0</v>
      </c>
      <c r="N3878">
        <v>0</v>
      </c>
      <c r="O3878">
        <v>0</v>
      </c>
      <c r="P3878">
        <v>0</v>
      </c>
      <c r="Q3878">
        <v>0</v>
      </c>
      <c r="R3878">
        <v>0</v>
      </c>
      <c r="S3878">
        <v>0</v>
      </c>
      <c r="T3878">
        <v>0</v>
      </c>
      <c r="V3878">
        <v>0</v>
      </c>
      <c r="W3878" t="s">
        <v>5352</v>
      </c>
    </row>
    <row r="3879" spans="1:23" x14ac:dyDescent="0.25">
      <c r="H3879">
        <v>703</v>
      </c>
    </row>
    <row r="3880" spans="1:23" x14ac:dyDescent="0.25">
      <c r="A3880">
        <v>1937</v>
      </c>
      <c r="B3880">
        <v>1575</v>
      </c>
      <c r="C3880" t="s">
        <v>5355</v>
      </c>
      <c r="D3880" t="s">
        <v>185</v>
      </c>
      <c r="E3880" t="s">
        <v>21</v>
      </c>
      <c r="F3880" t="s">
        <v>5356</v>
      </c>
      <c r="G3880" t="str">
        <f>"201406000055"</f>
        <v>201406000055</v>
      </c>
      <c r="H3880" t="s">
        <v>1503</v>
      </c>
      <c r="I3880">
        <v>0</v>
      </c>
      <c r="J3880">
        <v>0</v>
      </c>
      <c r="K3880">
        <v>0</v>
      </c>
      <c r="L3880">
        <v>0</v>
      </c>
      <c r="M3880">
        <v>0</v>
      </c>
      <c r="N3880">
        <v>0</v>
      </c>
      <c r="O3880">
        <v>0</v>
      </c>
      <c r="P3880">
        <v>0</v>
      </c>
      <c r="Q3880">
        <v>0</v>
      </c>
      <c r="R3880">
        <v>0</v>
      </c>
      <c r="S3880">
        <v>0</v>
      </c>
      <c r="T3880">
        <v>0</v>
      </c>
      <c r="V3880">
        <v>0</v>
      </c>
      <c r="W3880" t="s">
        <v>1503</v>
      </c>
    </row>
    <row r="3881" spans="1:23" x14ac:dyDescent="0.25">
      <c r="H3881">
        <v>703</v>
      </c>
    </row>
    <row r="3882" spans="1:23" x14ac:dyDescent="0.25">
      <c r="A3882">
        <v>1938</v>
      </c>
      <c r="B3882">
        <v>2627</v>
      </c>
      <c r="C3882" t="s">
        <v>5357</v>
      </c>
      <c r="D3882" t="s">
        <v>230</v>
      </c>
      <c r="E3882" t="s">
        <v>91</v>
      </c>
      <c r="F3882" t="s">
        <v>5358</v>
      </c>
      <c r="G3882" t="str">
        <f>"201511007676"</f>
        <v>201511007676</v>
      </c>
      <c r="H3882" t="s">
        <v>1359</v>
      </c>
      <c r="I3882">
        <v>150</v>
      </c>
      <c r="J3882">
        <v>0</v>
      </c>
      <c r="K3882">
        <v>0</v>
      </c>
      <c r="L3882">
        <v>0</v>
      </c>
      <c r="M3882">
        <v>0</v>
      </c>
      <c r="N3882">
        <v>0</v>
      </c>
      <c r="O3882">
        <v>0</v>
      </c>
      <c r="P3882">
        <v>0</v>
      </c>
      <c r="Q3882">
        <v>0</v>
      </c>
      <c r="R3882">
        <v>0</v>
      </c>
      <c r="S3882">
        <v>0</v>
      </c>
      <c r="T3882">
        <v>0</v>
      </c>
      <c r="V3882">
        <v>1</v>
      </c>
      <c r="W3882" t="s">
        <v>5359</v>
      </c>
    </row>
    <row r="3883" spans="1:23" x14ac:dyDescent="0.25">
      <c r="H3883">
        <v>703</v>
      </c>
    </row>
    <row r="3884" spans="1:23" x14ac:dyDescent="0.25">
      <c r="A3884">
        <v>1939</v>
      </c>
      <c r="B3884">
        <v>1601</v>
      </c>
      <c r="C3884" t="s">
        <v>5360</v>
      </c>
      <c r="D3884" t="s">
        <v>140</v>
      </c>
      <c r="E3884" t="s">
        <v>76</v>
      </c>
      <c r="F3884" t="s">
        <v>5361</v>
      </c>
      <c r="G3884" t="str">
        <f>"201604004421"</f>
        <v>201604004421</v>
      </c>
      <c r="H3884" t="s">
        <v>2235</v>
      </c>
      <c r="I3884">
        <v>0</v>
      </c>
      <c r="J3884">
        <v>0</v>
      </c>
      <c r="K3884">
        <v>0</v>
      </c>
      <c r="L3884">
        <v>0</v>
      </c>
      <c r="M3884">
        <v>0</v>
      </c>
      <c r="N3884">
        <v>0</v>
      </c>
      <c r="O3884">
        <v>0</v>
      </c>
      <c r="P3884">
        <v>0</v>
      </c>
      <c r="Q3884">
        <v>0</v>
      </c>
      <c r="R3884">
        <v>23</v>
      </c>
      <c r="S3884">
        <v>161</v>
      </c>
      <c r="T3884">
        <v>0</v>
      </c>
      <c r="V3884">
        <v>0</v>
      </c>
      <c r="W3884" t="s">
        <v>5359</v>
      </c>
    </row>
    <row r="3885" spans="1:23" x14ac:dyDescent="0.25">
      <c r="H3885">
        <v>703</v>
      </c>
    </row>
    <row r="3886" spans="1:23" x14ac:dyDescent="0.25">
      <c r="A3886">
        <v>1940</v>
      </c>
      <c r="B3886">
        <v>1196</v>
      </c>
      <c r="C3886" t="s">
        <v>5362</v>
      </c>
      <c r="D3886" t="s">
        <v>5363</v>
      </c>
      <c r="E3886" t="s">
        <v>482</v>
      </c>
      <c r="F3886" t="s">
        <v>5364</v>
      </c>
      <c r="G3886" t="str">
        <f>"00017791"</f>
        <v>00017791</v>
      </c>
      <c r="H3886">
        <v>902</v>
      </c>
      <c r="I3886">
        <v>0</v>
      </c>
      <c r="J3886">
        <v>70</v>
      </c>
      <c r="K3886">
        <v>0</v>
      </c>
      <c r="L3886">
        <v>0</v>
      </c>
      <c r="M3886">
        <v>30</v>
      </c>
      <c r="N3886">
        <v>0</v>
      </c>
      <c r="O3886">
        <v>0</v>
      </c>
      <c r="P3886">
        <v>0</v>
      </c>
      <c r="Q3886">
        <v>0</v>
      </c>
      <c r="R3886">
        <v>0</v>
      </c>
      <c r="S3886">
        <v>0</v>
      </c>
      <c r="T3886">
        <v>0</v>
      </c>
      <c r="V3886">
        <v>0</v>
      </c>
      <c r="W3886">
        <v>1002</v>
      </c>
    </row>
    <row r="3887" spans="1:23" x14ac:dyDescent="0.25">
      <c r="H3887" t="s">
        <v>70</v>
      </c>
    </row>
    <row r="3888" spans="1:23" x14ac:dyDescent="0.25">
      <c r="A3888">
        <v>1941</v>
      </c>
      <c r="B3888">
        <v>2591</v>
      </c>
      <c r="C3888" t="s">
        <v>5365</v>
      </c>
      <c r="D3888" t="s">
        <v>46</v>
      </c>
      <c r="E3888" t="s">
        <v>91</v>
      </c>
      <c r="F3888" t="s">
        <v>5366</v>
      </c>
      <c r="G3888" t="str">
        <f>"00104200"</f>
        <v>00104200</v>
      </c>
      <c r="H3888">
        <v>902</v>
      </c>
      <c r="I3888">
        <v>0</v>
      </c>
      <c r="J3888">
        <v>70</v>
      </c>
      <c r="K3888">
        <v>0</v>
      </c>
      <c r="L3888">
        <v>0</v>
      </c>
      <c r="M3888">
        <v>30</v>
      </c>
      <c r="N3888">
        <v>0</v>
      </c>
      <c r="O3888">
        <v>0</v>
      </c>
      <c r="P3888">
        <v>0</v>
      </c>
      <c r="Q3888">
        <v>0</v>
      </c>
      <c r="R3888">
        <v>0</v>
      </c>
      <c r="S3888">
        <v>0</v>
      </c>
      <c r="T3888">
        <v>0</v>
      </c>
      <c r="V3888">
        <v>0</v>
      </c>
      <c r="W3888">
        <v>1002</v>
      </c>
    </row>
    <row r="3889" spans="1:23" x14ac:dyDescent="0.25">
      <c r="H3889" t="s">
        <v>26</v>
      </c>
    </row>
    <row r="3890" spans="1:23" x14ac:dyDescent="0.25">
      <c r="A3890">
        <v>1942</v>
      </c>
      <c r="B3890">
        <v>1467</v>
      </c>
      <c r="C3890" t="s">
        <v>3350</v>
      </c>
      <c r="D3890" t="s">
        <v>248</v>
      </c>
      <c r="E3890" t="s">
        <v>5367</v>
      </c>
      <c r="F3890" t="s">
        <v>5368</v>
      </c>
      <c r="G3890" t="str">
        <f>"00226895"</f>
        <v>00226895</v>
      </c>
      <c r="H3890">
        <v>880</v>
      </c>
      <c r="I3890">
        <v>0</v>
      </c>
      <c r="J3890">
        <v>50</v>
      </c>
      <c r="K3890">
        <v>30</v>
      </c>
      <c r="L3890">
        <v>0</v>
      </c>
      <c r="M3890">
        <v>0</v>
      </c>
      <c r="N3890">
        <v>0</v>
      </c>
      <c r="O3890">
        <v>0</v>
      </c>
      <c r="P3890">
        <v>0</v>
      </c>
      <c r="Q3890">
        <v>0</v>
      </c>
      <c r="R3890">
        <v>6</v>
      </c>
      <c r="S3890">
        <v>42</v>
      </c>
      <c r="T3890">
        <v>0</v>
      </c>
      <c r="V3890">
        <v>0</v>
      </c>
      <c r="W3890">
        <v>1002</v>
      </c>
    </row>
    <row r="3891" spans="1:23" x14ac:dyDescent="0.25">
      <c r="H3891" t="s">
        <v>70</v>
      </c>
    </row>
    <row r="3892" spans="1:23" x14ac:dyDescent="0.25">
      <c r="A3892">
        <v>1943</v>
      </c>
      <c r="B3892">
        <v>3010</v>
      </c>
      <c r="C3892" t="s">
        <v>5369</v>
      </c>
      <c r="D3892" t="s">
        <v>67</v>
      </c>
      <c r="E3892" t="s">
        <v>109</v>
      </c>
      <c r="F3892" t="s">
        <v>5370</v>
      </c>
      <c r="G3892" t="str">
        <f>"00228195"</f>
        <v>00228195</v>
      </c>
      <c r="H3892" t="s">
        <v>521</v>
      </c>
      <c r="I3892">
        <v>0</v>
      </c>
      <c r="J3892">
        <v>30</v>
      </c>
      <c r="K3892">
        <v>0</v>
      </c>
      <c r="L3892">
        <v>0</v>
      </c>
      <c r="M3892">
        <v>0</v>
      </c>
      <c r="N3892">
        <v>0</v>
      </c>
      <c r="O3892">
        <v>0</v>
      </c>
      <c r="P3892">
        <v>0</v>
      </c>
      <c r="Q3892">
        <v>0</v>
      </c>
      <c r="R3892">
        <v>0</v>
      </c>
      <c r="S3892">
        <v>0</v>
      </c>
      <c r="T3892">
        <v>0</v>
      </c>
      <c r="V3892">
        <v>0</v>
      </c>
      <c r="W3892" t="s">
        <v>5371</v>
      </c>
    </row>
    <row r="3893" spans="1:23" x14ac:dyDescent="0.25">
      <c r="H3893" t="s">
        <v>70</v>
      </c>
    </row>
    <row r="3894" spans="1:23" x14ac:dyDescent="0.25">
      <c r="A3894">
        <v>1944</v>
      </c>
      <c r="B3894">
        <v>3070</v>
      </c>
      <c r="C3894" t="s">
        <v>5372</v>
      </c>
      <c r="D3894" t="s">
        <v>1768</v>
      </c>
      <c r="E3894" t="s">
        <v>76</v>
      </c>
      <c r="F3894" t="s">
        <v>5373</v>
      </c>
      <c r="G3894" t="str">
        <f>"201511026469"</f>
        <v>201511026469</v>
      </c>
      <c r="H3894" t="s">
        <v>521</v>
      </c>
      <c r="I3894">
        <v>0</v>
      </c>
      <c r="J3894">
        <v>30</v>
      </c>
      <c r="K3894">
        <v>0</v>
      </c>
      <c r="L3894">
        <v>0</v>
      </c>
      <c r="M3894">
        <v>0</v>
      </c>
      <c r="N3894">
        <v>0</v>
      </c>
      <c r="O3894">
        <v>0</v>
      </c>
      <c r="P3894">
        <v>0</v>
      </c>
      <c r="Q3894">
        <v>0</v>
      </c>
      <c r="R3894">
        <v>0</v>
      </c>
      <c r="S3894">
        <v>0</v>
      </c>
      <c r="T3894">
        <v>0</v>
      </c>
      <c r="V3894">
        <v>0</v>
      </c>
      <c r="W3894" t="s">
        <v>5371</v>
      </c>
    </row>
    <row r="3895" spans="1:23" x14ac:dyDescent="0.25">
      <c r="H3895">
        <v>703</v>
      </c>
    </row>
    <row r="3896" spans="1:23" x14ac:dyDescent="0.25">
      <c r="A3896">
        <v>1945</v>
      </c>
      <c r="B3896">
        <v>1443</v>
      </c>
      <c r="C3896" t="s">
        <v>5210</v>
      </c>
      <c r="D3896" t="s">
        <v>610</v>
      </c>
      <c r="E3896" t="s">
        <v>105</v>
      </c>
      <c r="F3896" t="s">
        <v>5374</v>
      </c>
      <c r="G3896" t="str">
        <f>"201512000980"</f>
        <v>201512000980</v>
      </c>
      <c r="H3896">
        <v>1001</v>
      </c>
      <c r="I3896">
        <v>0</v>
      </c>
      <c r="J3896">
        <v>0</v>
      </c>
      <c r="K3896">
        <v>0</v>
      </c>
      <c r="L3896">
        <v>0</v>
      </c>
      <c r="M3896">
        <v>0</v>
      </c>
      <c r="N3896">
        <v>0</v>
      </c>
      <c r="O3896">
        <v>0</v>
      </c>
      <c r="P3896">
        <v>0</v>
      </c>
      <c r="Q3896">
        <v>0</v>
      </c>
      <c r="R3896">
        <v>0</v>
      </c>
      <c r="S3896">
        <v>0</v>
      </c>
      <c r="T3896">
        <v>0</v>
      </c>
      <c r="V3896">
        <v>2</v>
      </c>
      <c r="W3896">
        <v>1001</v>
      </c>
    </row>
    <row r="3897" spans="1:23" x14ac:dyDescent="0.25">
      <c r="H3897">
        <v>703</v>
      </c>
    </row>
    <row r="3898" spans="1:23" x14ac:dyDescent="0.25">
      <c r="A3898">
        <v>1946</v>
      </c>
      <c r="B3898">
        <v>895</v>
      </c>
      <c r="C3898" t="s">
        <v>5375</v>
      </c>
      <c r="D3898" t="s">
        <v>134</v>
      </c>
      <c r="E3898" t="s">
        <v>1678</v>
      </c>
      <c r="F3898" t="s">
        <v>5376</v>
      </c>
      <c r="G3898" t="str">
        <f>"00123061"</f>
        <v>00123061</v>
      </c>
      <c r="H3898">
        <v>891</v>
      </c>
      <c r="I3898">
        <v>0</v>
      </c>
      <c r="J3898">
        <v>50</v>
      </c>
      <c r="K3898">
        <v>0</v>
      </c>
      <c r="L3898">
        <v>0</v>
      </c>
      <c r="M3898">
        <v>30</v>
      </c>
      <c r="N3898">
        <v>30</v>
      </c>
      <c r="O3898">
        <v>0</v>
      </c>
      <c r="P3898">
        <v>0</v>
      </c>
      <c r="Q3898">
        <v>0</v>
      </c>
      <c r="R3898">
        <v>0</v>
      </c>
      <c r="S3898">
        <v>0</v>
      </c>
      <c r="T3898">
        <v>0</v>
      </c>
      <c r="V3898">
        <v>0</v>
      </c>
      <c r="W3898">
        <v>1001</v>
      </c>
    </row>
    <row r="3899" spans="1:23" x14ac:dyDescent="0.25">
      <c r="H3899" t="s">
        <v>70</v>
      </c>
    </row>
    <row r="3900" spans="1:23" x14ac:dyDescent="0.25">
      <c r="A3900">
        <v>1947</v>
      </c>
      <c r="B3900">
        <v>2575</v>
      </c>
      <c r="C3900" t="s">
        <v>2415</v>
      </c>
      <c r="D3900" t="s">
        <v>219</v>
      </c>
      <c r="E3900" t="s">
        <v>15</v>
      </c>
      <c r="F3900" t="s">
        <v>5377</v>
      </c>
      <c r="G3900" t="str">
        <f>"00108080"</f>
        <v>00108080</v>
      </c>
      <c r="H3900">
        <v>880</v>
      </c>
      <c r="I3900">
        <v>0</v>
      </c>
      <c r="J3900">
        <v>30</v>
      </c>
      <c r="K3900">
        <v>0</v>
      </c>
      <c r="L3900">
        <v>0</v>
      </c>
      <c r="M3900">
        <v>0</v>
      </c>
      <c r="N3900">
        <v>0</v>
      </c>
      <c r="O3900">
        <v>0</v>
      </c>
      <c r="P3900">
        <v>0</v>
      </c>
      <c r="Q3900">
        <v>0</v>
      </c>
      <c r="R3900">
        <v>13</v>
      </c>
      <c r="S3900">
        <v>91</v>
      </c>
      <c r="T3900">
        <v>0</v>
      </c>
      <c r="V3900">
        <v>0</v>
      </c>
      <c r="W3900">
        <v>1001</v>
      </c>
    </row>
    <row r="3901" spans="1:23" x14ac:dyDescent="0.25">
      <c r="H3901">
        <v>703</v>
      </c>
    </row>
    <row r="3902" spans="1:23" x14ac:dyDescent="0.25">
      <c r="A3902">
        <v>1948</v>
      </c>
      <c r="B3902">
        <v>2639</v>
      </c>
      <c r="C3902" t="s">
        <v>5378</v>
      </c>
      <c r="D3902" t="s">
        <v>46</v>
      </c>
      <c r="E3902" t="s">
        <v>1818</v>
      </c>
      <c r="F3902" t="s">
        <v>5379</v>
      </c>
      <c r="G3902" t="str">
        <f>"00224258"</f>
        <v>00224258</v>
      </c>
      <c r="H3902">
        <v>781</v>
      </c>
      <c r="I3902">
        <v>150</v>
      </c>
      <c r="J3902">
        <v>70</v>
      </c>
      <c r="K3902">
        <v>0</v>
      </c>
      <c r="L3902">
        <v>0</v>
      </c>
      <c r="M3902">
        <v>0</v>
      </c>
      <c r="N3902">
        <v>0</v>
      </c>
      <c r="O3902">
        <v>0</v>
      </c>
      <c r="P3902">
        <v>0</v>
      </c>
      <c r="Q3902">
        <v>0</v>
      </c>
      <c r="R3902">
        <v>0</v>
      </c>
      <c r="S3902">
        <v>0</v>
      </c>
      <c r="T3902">
        <v>0</v>
      </c>
      <c r="V3902">
        <v>0</v>
      </c>
      <c r="W3902">
        <v>1001</v>
      </c>
    </row>
    <row r="3903" spans="1:23" x14ac:dyDescent="0.25">
      <c r="H3903">
        <v>703</v>
      </c>
    </row>
    <row r="3904" spans="1:23" x14ac:dyDescent="0.25">
      <c r="A3904">
        <v>1949</v>
      </c>
      <c r="B3904">
        <v>2259</v>
      </c>
      <c r="C3904" t="s">
        <v>5380</v>
      </c>
      <c r="D3904" t="s">
        <v>113</v>
      </c>
      <c r="E3904" t="s">
        <v>350</v>
      </c>
      <c r="F3904" t="s">
        <v>5381</v>
      </c>
      <c r="G3904" t="str">
        <f>"201511037964"</f>
        <v>201511037964</v>
      </c>
      <c r="H3904">
        <v>759</v>
      </c>
      <c r="I3904">
        <v>150</v>
      </c>
      <c r="J3904">
        <v>70</v>
      </c>
      <c r="K3904">
        <v>0</v>
      </c>
      <c r="L3904">
        <v>0</v>
      </c>
      <c r="M3904">
        <v>0</v>
      </c>
      <c r="N3904">
        <v>0</v>
      </c>
      <c r="O3904">
        <v>0</v>
      </c>
      <c r="P3904">
        <v>0</v>
      </c>
      <c r="Q3904">
        <v>0</v>
      </c>
      <c r="R3904">
        <v>3</v>
      </c>
      <c r="S3904">
        <v>21</v>
      </c>
      <c r="T3904">
        <v>0</v>
      </c>
      <c r="V3904">
        <v>0</v>
      </c>
      <c r="W3904">
        <v>1000</v>
      </c>
    </row>
    <row r="3905" spans="1:23" x14ac:dyDescent="0.25">
      <c r="H3905">
        <v>703</v>
      </c>
    </row>
    <row r="3906" spans="1:23" x14ac:dyDescent="0.25">
      <c r="A3906">
        <v>1950</v>
      </c>
      <c r="B3906">
        <v>176</v>
      </c>
      <c r="C3906" t="s">
        <v>2100</v>
      </c>
      <c r="D3906" t="s">
        <v>20</v>
      </c>
      <c r="E3906" t="s">
        <v>91</v>
      </c>
      <c r="F3906" t="s">
        <v>5382</v>
      </c>
      <c r="G3906" t="str">
        <f>"201511038062"</f>
        <v>201511038062</v>
      </c>
      <c r="H3906" t="s">
        <v>1212</v>
      </c>
      <c r="I3906">
        <v>150</v>
      </c>
      <c r="J3906">
        <v>30</v>
      </c>
      <c r="K3906">
        <v>0</v>
      </c>
      <c r="L3906">
        <v>0</v>
      </c>
      <c r="M3906">
        <v>0</v>
      </c>
      <c r="N3906">
        <v>0</v>
      </c>
      <c r="O3906">
        <v>0</v>
      </c>
      <c r="P3906">
        <v>0</v>
      </c>
      <c r="Q3906">
        <v>0</v>
      </c>
      <c r="R3906">
        <v>0</v>
      </c>
      <c r="S3906">
        <v>0</v>
      </c>
      <c r="T3906">
        <v>0</v>
      </c>
      <c r="V3906">
        <v>0</v>
      </c>
      <c r="W3906" t="s">
        <v>5383</v>
      </c>
    </row>
    <row r="3907" spans="1:23" x14ac:dyDescent="0.25">
      <c r="H3907">
        <v>703</v>
      </c>
    </row>
    <row r="3908" spans="1:23" x14ac:dyDescent="0.25">
      <c r="A3908">
        <v>1951</v>
      </c>
      <c r="B3908">
        <v>729</v>
      </c>
      <c r="C3908" t="s">
        <v>5384</v>
      </c>
      <c r="D3908" t="s">
        <v>382</v>
      </c>
      <c r="E3908" t="s">
        <v>5385</v>
      </c>
      <c r="F3908" t="s">
        <v>5386</v>
      </c>
      <c r="G3908" t="str">
        <f>"00143847"</f>
        <v>00143847</v>
      </c>
      <c r="H3908" t="s">
        <v>1212</v>
      </c>
      <c r="I3908">
        <v>150</v>
      </c>
      <c r="J3908">
        <v>30</v>
      </c>
      <c r="K3908">
        <v>0</v>
      </c>
      <c r="L3908">
        <v>0</v>
      </c>
      <c r="M3908">
        <v>0</v>
      </c>
      <c r="N3908">
        <v>0</v>
      </c>
      <c r="O3908">
        <v>0</v>
      </c>
      <c r="P3908">
        <v>0</v>
      </c>
      <c r="Q3908">
        <v>0</v>
      </c>
      <c r="R3908">
        <v>0</v>
      </c>
      <c r="S3908">
        <v>0</v>
      </c>
      <c r="T3908">
        <v>0</v>
      </c>
      <c r="V3908">
        <v>0</v>
      </c>
      <c r="W3908" t="s">
        <v>5383</v>
      </c>
    </row>
    <row r="3909" spans="1:23" x14ac:dyDescent="0.25">
      <c r="H3909" t="s">
        <v>70</v>
      </c>
    </row>
    <row r="3910" spans="1:23" x14ac:dyDescent="0.25">
      <c r="A3910">
        <v>1952</v>
      </c>
      <c r="B3910">
        <v>2267</v>
      </c>
      <c r="C3910" t="s">
        <v>5387</v>
      </c>
      <c r="D3910" t="s">
        <v>46</v>
      </c>
      <c r="E3910" t="s">
        <v>227</v>
      </c>
      <c r="F3910" t="s">
        <v>5388</v>
      </c>
      <c r="G3910" t="str">
        <f>"00192865"</f>
        <v>00192865</v>
      </c>
      <c r="H3910" t="s">
        <v>836</v>
      </c>
      <c r="I3910">
        <v>0</v>
      </c>
      <c r="J3910">
        <v>30</v>
      </c>
      <c r="K3910">
        <v>0</v>
      </c>
      <c r="L3910">
        <v>0</v>
      </c>
      <c r="M3910">
        <v>0</v>
      </c>
      <c r="N3910">
        <v>0</v>
      </c>
      <c r="O3910">
        <v>0</v>
      </c>
      <c r="P3910">
        <v>0</v>
      </c>
      <c r="Q3910">
        <v>0</v>
      </c>
      <c r="R3910">
        <v>0</v>
      </c>
      <c r="S3910">
        <v>0</v>
      </c>
      <c r="T3910">
        <v>0</v>
      </c>
      <c r="V3910">
        <v>0</v>
      </c>
      <c r="W3910" t="s">
        <v>5389</v>
      </c>
    </row>
    <row r="3911" spans="1:23" x14ac:dyDescent="0.25">
      <c r="H3911">
        <v>703</v>
      </c>
    </row>
    <row r="3912" spans="1:23" x14ac:dyDescent="0.25">
      <c r="A3912">
        <v>1953</v>
      </c>
      <c r="B3912">
        <v>3039</v>
      </c>
      <c r="C3912" t="s">
        <v>5390</v>
      </c>
      <c r="D3912" t="s">
        <v>5391</v>
      </c>
      <c r="E3912" t="s">
        <v>53</v>
      </c>
      <c r="F3912" t="s">
        <v>5392</v>
      </c>
      <c r="G3912" t="str">
        <f>"00201558"</f>
        <v>00201558</v>
      </c>
      <c r="H3912">
        <v>770</v>
      </c>
      <c r="I3912">
        <v>150</v>
      </c>
      <c r="J3912">
        <v>30</v>
      </c>
      <c r="K3912">
        <v>0</v>
      </c>
      <c r="L3912">
        <v>0</v>
      </c>
      <c r="M3912">
        <v>0</v>
      </c>
      <c r="N3912">
        <v>0</v>
      </c>
      <c r="O3912">
        <v>0</v>
      </c>
      <c r="P3912">
        <v>0</v>
      </c>
      <c r="Q3912">
        <v>0</v>
      </c>
      <c r="R3912">
        <v>7</v>
      </c>
      <c r="S3912">
        <v>49</v>
      </c>
      <c r="T3912">
        <v>0</v>
      </c>
      <c r="V3912">
        <v>2</v>
      </c>
      <c r="W3912">
        <v>999</v>
      </c>
    </row>
    <row r="3913" spans="1:23" x14ac:dyDescent="0.25">
      <c r="H3913">
        <v>703</v>
      </c>
    </row>
    <row r="3914" spans="1:23" x14ac:dyDescent="0.25">
      <c r="A3914">
        <v>1954</v>
      </c>
      <c r="B3914">
        <v>2810</v>
      </c>
      <c r="C3914" t="s">
        <v>5393</v>
      </c>
      <c r="D3914" t="s">
        <v>255</v>
      </c>
      <c r="E3914" t="s">
        <v>76</v>
      </c>
      <c r="F3914" t="s">
        <v>5394</v>
      </c>
      <c r="G3914" t="str">
        <f>"201402004352"</f>
        <v>201402004352</v>
      </c>
      <c r="H3914" t="s">
        <v>1875</v>
      </c>
      <c r="I3914">
        <v>0</v>
      </c>
      <c r="J3914">
        <v>70</v>
      </c>
      <c r="K3914">
        <v>0</v>
      </c>
      <c r="L3914">
        <v>0</v>
      </c>
      <c r="M3914">
        <v>0</v>
      </c>
      <c r="N3914">
        <v>0</v>
      </c>
      <c r="O3914">
        <v>0</v>
      </c>
      <c r="P3914">
        <v>0</v>
      </c>
      <c r="Q3914">
        <v>0</v>
      </c>
      <c r="R3914">
        <v>28</v>
      </c>
      <c r="S3914">
        <v>196</v>
      </c>
      <c r="T3914">
        <v>0</v>
      </c>
      <c r="V3914">
        <v>0</v>
      </c>
      <c r="W3914" t="s">
        <v>5395</v>
      </c>
    </row>
    <row r="3915" spans="1:23" x14ac:dyDescent="0.25">
      <c r="H3915">
        <v>703</v>
      </c>
    </row>
    <row r="3916" spans="1:23" x14ac:dyDescent="0.25">
      <c r="A3916">
        <v>1955</v>
      </c>
      <c r="B3916">
        <v>1972</v>
      </c>
      <c r="C3916" t="s">
        <v>5396</v>
      </c>
      <c r="D3916" t="s">
        <v>273</v>
      </c>
      <c r="E3916" t="s">
        <v>53</v>
      </c>
      <c r="F3916" t="s">
        <v>5397</v>
      </c>
      <c r="G3916" t="str">
        <f>"00161959"</f>
        <v>00161959</v>
      </c>
      <c r="H3916" t="s">
        <v>5398</v>
      </c>
      <c r="I3916">
        <v>0</v>
      </c>
      <c r="J3916">
        <v>70</v>
      </c>
      <c r="K3916">
        <v>0</v>
      </c>
      <c r="L3916">
        <v>0</v>
      </c>
      <c r="M3916">
        <v>0</v>
      </c>
      <c r="N3916">
        <v>0</v>
      </c>
      <c r="O3916">
        <v>0</v>
      </c>
      <c r="P3916">
        <v>0</v>
      </c>
      <c r="Q3916">
        <v>0</v>
      </c>
      <c r="R3916">
        <v>0</v>
      </c>
      <c r="S3916">
        <v>0</v>
      </c>
      <c r="T3916">
        <v>0</v>
      </c>
      <c r="V3916">
        <v>0</v>
      </c>
      <c r="W3916" t="s">
        <v>5399</v>
      </c>
    </row>
    <row r="3917" spans="1:23" x14ac:dyDescent="0.25">
      <c r="H3917">
        <v>703</v>
      </c>
    </row>
    <row r="3918" spans="1:23" x14ac:dyDescent="0.25">
      <c r="A3918">
        <v>1956</v>
      </c>
      <c r="B3918">
        <v>2982</v>
      </c>
      <c r="C3918" t="s">
        <v>5400</v>
      </c>
      <c r="D3918" t="s">
        <v>1760</v>
      </c>
      <c r="E3918" t="s">
        <v>21</v>
      </c>
      <c r="F3918" t="s">
        <v>5401</v>
      </c>
      <c r="G3918" t="str">
        <f>"00230847"</f>
        <v>00230847</v>
      </c>
      <c r="H3918">
        <v>968</v>
      </c>
      <c r="I3918">
        <v>0</v>
      </c>
      <c r="J3918">
        <v>30</v>
      </c>
      <c r="K3918">
        <v>0</v>
      </c>
      <c r="L3918">
        <v>0</v>
      </c>
      <c r="M3918">
        <v>0</v>
      </c>
      <c r="N3918">
        <v>0</v>
      </c>
      <c r="O3918">
        <v>0</v>
      </c>
      <c r="P3918">
        <v>0</v>
      </c>
      <c r="Q3918">
        <v>0</v>
      </c>
      <c r="R3918">
        <v>0</v>
      </c>
      <c r="S3918">
        <v>0</v>
      </c>
      <c r="T3918">
        <v>0</v>
      </c>
      <c r="V3918">
        <v>0</v>
      </c>
      <c r="W3918">
        <v>998</v>
      </c>
    </row>
    <row r="3919" spans="1:23" x14ac:dyDescent="0.25">
      <c r="H3919" t="s">
        <v>70</v>
      </c>
    </row>
    <row r="3920" spans="1:23" x14ac:dyDescent="0.25">
      <c r="A3920">
        <v>1957</v>
      </c>
      <c r="B3920">
        <v>1993</v>
      </c>
      <c r="C3920" t="s">
        <v>5402</v>
      </c>
      <c r="D3920" t="s">
        <v>76</v>
      </c>
      <c r="E3920" t="s">
        <v>91</v>
      </c>
      <c r="F3920" t="s">
        <v>5403</v>
      </c>
      <c r="G3920" t="str">
        <f>"00140350"</f>
        <v>00140350</v>
      </c>
      <c r="H3920">
        <v>968</v>
      </c>
      <c r="I3920">
        <v>0</v>
      </c>
      <c r="J3920">
        <v>30</v>
      </c>
      <c r="K3920">
        <v>0</v>
      </c>
      <c r="L3920">
        <v>0</v>
      </c>
      <c r="M3920">
        <v>0</v>
      </c>
      <c r="N3920">
        <v>0</v>
      </c>
      <c r="O3920">
        <v>0</v>
      </c>
      <c r="P3920">
        <v>0</v>
      </c>
      <c r="Q3920">
        <v>0</v>
      </c>
      <c r="R3920">
        <v>0</v>
      </c>
      <c r="S3920">
        <v>0</v>
      </c>
      <c r="T3920">
        <v>0</v>
      </c>
      <c r="V3920">
        <v>0</v>
      </c>
      <c r="W3920">
        <v>998</v>
      </c>
    </row>
    <row r="3921" spans="1:23" x14ac:dyDescent="0.25">
      <c r="H3921">
        <v>703</v>
      </c>
    </row>
    <row r="3922" spans="1:23" x14ac:dyDescent="0.25">
      <c r="A3922">
        <v>1958</v>
      </c>
      <c r="B3922">
        <v>1096</v>
      </c>
      <c r="C3922" t="s">
        <v>2053</v>
      </c>
      <c r="D3922" t="s">
        <v>46</v>
      </c>
      <c r="E3922" t="s">
        <v>41</v>
      </c>
      <c r="F3922" t="s">
        <v>5404</v>
      </c>
      <c r="G3922" t="str">
        <f>"00159108"</f>
        <v>00159108</v>
      </c>
      <c r="H3922">
        <v>968</v>
      </c>
      <c r="I3922">
        <v>0</v>
      </c>
      <c r="J3922">
        <v>30</v>
      </c>
      <c r="K3922">
        <v>0</v>
      </c>
      <c r="L3922">
        <v>0</v>
      </c>
      <c r="M3922">
        <v>0</v>
      </c>
      <c r="N3922">
        <v>0</v>
      </c>
      <c r="O3922">
        <v>0</v>
      </c>
      <c r="P3922">
        <v>0</v>
      </c>
      <c r="Q3922">
        <v>0</v>
      </c>
      <c r="R3922">
        <v>0</v>
      </c>
      <c r="S3922">
        <v>0</v>
      </c>
      <c r="T3922">
        <v>0</v>
      </c>
      <c r="V3922">
        <v>0</v>
      </c>
      <c r="W3922">
        <v>998</v>
      </c>
    </row>
    <row r="3923" spans="1:23" x14ac:dyDescent="0.25">
      <c r="H3923">
        <v>703</v>
      </c>
    </row>
    <row r="3924" spans="1:23" x14ac:dyDescent="0.25">
      <c r="A3924">
        <v>1959</v>
      </c>
      <c r="B3924">
        <v>2570</v>
      </c>
      <c r="C3924" t="s">
        <v>423</v>
      </c>
      <c r="D3924" t="s">
        <v>356</v>
      </c>
      <c r="E3924" t="s">
        <v>47</v>
      </c>
      <c r="F3924" t="s">
        <v>5405</v>
      </c>
      <c r="G3924" t="str">
        <f>"00225832"</f>
        <v>00225832</v>
      </c>
      <c r="H3924" t="s">
        <v>840</v>
      </c>
      <c r="I3924">
        <v>0</v>
      </c>
      <c r="J3924">
        <v>30</v>
      </c>
      <c r="K3924">
        <v>0</v>
      </c>
      <c r="L3924">
        <v>0</v>
      </c>
      <c r="M3924">
        <v>0</v>
      </c>
      <c r="N3924">
        <v>0</v>
      </c>
      <c r="O3924">
        <v>0</v>
      </c>
      <c r="P3924">
        <v>0</v>
      </c>
      <c r="Q3924">
        <v>0</v>
      </c>
      <c r="R3924">
        <v>7</v>
      </c>
      <c r="S3924">
        <v>49</v>
      </c>
      <c r="T3924">
        <v>0</v>
      </c>
      <c r="V3924">
        <v>0</v>
      </c>
      <c r="W3924" t="s">
        <v>5406</v>
      </c>
    </row>
    <row r="3925" spans="1:23" x14ac:dyDescent="0.25">
      <c r="H3925">
        <v>703</v>
      </c>
    </row>
    <row r="3926" spans="1:23" x14ac:dyDescent="0.25">
      <c r="A3926">
        <v>1960</v>
      </c>
      <c r="B3926">
        <v>842</v>
      </c>
      <c r="C3926" t="s">
        <v>5407</v>
      </c>
      <c r="D3926" t="s">
        <v>1684</v>
      </c>
      <c r="E3926" t="s">
        <v>53</v>
      </c>
      <c r="F3926" t="s">
        <v>5408</v>
      </c>
      <c r="G3926" t="str">
        <f>"201304005504"</f>
        <v>201304005504</v>
      </c>
      <c r="H3926" t="s">
        <v>2235</v>
      </c>
      <c r="I3926">
        <v>0</v>
      </c>
      <c r="J3926">
        <v>30</v>
      </c>
      <c r="K3926">
        <v>0</v>
      </c>
      <c r="L3926">
        <v>0</v>
      </c>
      <c r="M3926">
        <v>0</v>
      </c>
      <c r="N3926">
        <v>0</v>
      </c>
      <c r="O3926">
        <v>0</v>
      </c>
      <c r="P3926">
        <v>0</v>
      </c>
      <c r="Q3926">
        <v>0</v>
      </c>
      <c r="R3926">
        <v>18</v>
      </c>
      <c r="S3926">
        <v>126</v>
      </c>
      <c r="T3926">
        <v>0</v>
      </c>
      <c r="V3926">
        <v>0</v>
      </c>
      <c r="W3926" t="s">
        <v>5406</v>
      </c>
    </row>
    <row r="3927" spans="1:23" x14ac:dyDescent="0.25">
      <c r="H3927" t="s">
        <v>70</v>
      </c>
    </row>
    <row r="3928" spans="1:23" x14ac:dyDescent="0.25">
      <c r="A3928">
        <v>1961</v>
      </c>
      <c r="B3928">
        <v>1256</v>
      </c>
      <c r="C3928" t="s">
        <v>3272</v>
      </c>
      <c r="D3928" t="s">
        <v>46</v>
      </c>
      <c r="E3928" t="s">
        <v>76</v>
      </c>
      <c r="F3928" t="s">
        <v>5409</v>
      </c>
      <c r="G3928" t="str">
        <f>"201412006132"</f>
        <v>201412006132</v>
      </c>
      <c r="H3928" t="s">
        <v>2374</v>
      </c>
      <c r="I3928">
        <v>150</v>
      </c>
      <c r="J3928">
        <v>50</v>
      </c>
      <c r="K3928">
        <v>0</v>
      </c>
      <c r="L3928">
        <v>0</v>
      </c>
      <c r="M3928">
        <v>0</v>
      </c>
      <c r="N3928">
        <v>0</v>
      </c>
      <c r="O3928">
        <v>0</v>
      </c>
      <c r="P3928">
        <v>0</v>
      </c>
      <c r="Q3928">
        <v>0</v>
      </c>
      <c r="R3928">
        <v>0</v>
      </c>
      <c r="S3928">
        <v>0</v>
      </c>
      <c r="T3928">
        <v>0</v>
      </c>
      <c r="V3928">
        <v>0</v>
      </c>
      <c r="W3928" t="s">
        <v>5406</v>
      </c>
    </row>
    <row r="3929" spans="1:23" x14ac:dyDescent="0.25">
      <c r="H3929" t="s">
        <v>26</v>
      </c>
    </row>
    <row r="3930" spans="1:23" x14ac:dyDescent="0.25">
      <c r="A3930">
        <v>1962</v>
      </c>
      <c r="B3930">
        <v>2246</v>
      </c>
      <c r="C3930" t="s">
        <v>944</v>
      </c>
      <c r="D3930" t="s">
        <v>109</v>
      </c>
      <c r="E3930" t="s">
        <v>105</v>
      </c>
      <c r="F3930" t="s">
        <v>5410</v>
      </c>
      <c r="G3930" t="str">
        <f>"201412003390"</f>
        <v>201412003390</v>
      </c>
      <c r="H3930">
        <v>704</v>
      </c>
      <c r="I3930">
        <v>150</v>
      </c>
      <c r="J3930">
        <v>30</v>
      </c>
      <c r="K3930">
        <v>0</v>
      </c>
      <c r="L3930">
        <v>0</v>
      </c>
      <c r="M3930">
        <v>0</v>
      </c>
      <c r="N3930">
        <v>0</v>
      </c>
      <c r="O3930">
        <v>0</v>
      </c>
      <c r="P3930">
        <v>0</v>
      </c>
      <c r="Q3930">
        <v>0</v>
      </c>
      <c r="R3930">
        <v>16</v>
      </c>
      <c r="S3930">
        <v>112</v>
      </c>
      <c r="T3930">
        <v>0</v>
      </c>
      <c r="V3930">
        <v>0</v>
      </c>
      <c r="W3930">
        <v>996</v>
      </c>
    </row>
    <row r="3931" spans="1:23" x14ac:dyDescent="0.25">
      <c r="H3931">
        <v>703</v>
      </c>
    </row>
    <row r="3932" spans="1:23" x14ac:dyDescent="0.25">
      <c r="A3932">
        <v>1963</v>
      </c>
      <c r="B3932">
        <v>2713</v>
      </c>
      <c r="C3932" t="s">
        <v>5411</v>
      </c>
      <c r="D3932" t="s">
        <v>527</v>
      </c>
      <c r="E3932" t="s">
        <v>53</v>
      </c>
      <c r="F3932" t="s">
        <v>5412</v>
      </c>
      <c r="G3932" t="str">
        <f>"00143757"</f>
        <v>00143757</v>
      </c>
      <c r="H3932" t="s">
        <v>358</v>
      </c>
      <c r="I3932">
        <v>0</v>
      </c>
      <c r="J3932">
        <v>0</v>
      </c>
      <c r="K3932">
        <v>0</v>
      </c>
      <c r="L3932">
        <v>0</v>
      </c>
      <c r="M3932">
        <v>0</v>
      </c>
      <c r="N3932">
        <v>0</v>
      </c>
      <c r="O3932">
        <v>0</v>
      </c>
      <c r="P3932">
        <v>0</v>
      </c>
      <c r="Q3932">
        <v>0</v>
      </c>
      <c r="R3932">
        <v>0</v>
      </c>
      <c r="S3932">
        <v>0</v>
      </c>
      <c r="T3932">
        <v>0</v>
      </c>
      <c r="V3932">
        <v>0</v>
      </c>
      <c r="W3932" t="s">
        <v>358</v>
      </c>
    </row>
    <row r="3933" spans="1:23" x14ac:dyDescent="0.25">
      <c r="H3933" t="s">
        <v>70</v>
      </c>
    </row>
    <row r="3934" spans="1:23" x14ac:dyDescent="0.25">
      <c r="A3934">
        <v>1964</v>
      </c>
      <c r="B3934">
        <v>749</v>
      </c>
      <c r="C3934" t="s">
        <v>5413</v>
      </c>
      <c r="D3934" t="s">
        <v>33</v>
      </c>
      <c r="E3934" t="s">
        <v>369</v>
      </c>
      <c r="F3934" t="s">
        <v>5414</v>
      </c>
      <c r="G3934" t="str">
        <f>"201511022571"</f>
        <v>201511022571</v>
      </c>
      <c r="H3934">
        <v>935</v>
      </c>
      <c r="I3934">
        <v>0</v>
      </c>
      <c r="J3934">
        <v>30</v>
      </c>
      <c r="K3934">
        <v>0</v>
      </c>
      <c r="L3934">
        <v>30</v>
      </c>
      <c r="M3934">
        <v>0</v>
      </c>
      <c r="N3934">
        <v>0</v>
      </c>
      <c r="O3934">
        <v>0</v>
      </c>
      <c r="P3934">
        <v>0</v>
      </c>
      <c r="Q3934">
        <v>0</v>
      </c>
      <c r="R3934">
        <v>0</v>
      </c>
      <c r="S3934">
        <v>0</v>
      </c>
      <c r="T3934">
        <v>0</v>
      </c>
      <c r="V3934">
        <v>0</v>
      </c>
      <c r="W3934">
        <v>995</v>
      </c>
    </row>
    <row r="3935" spans="1:23" x14ac:dyDescent="0.25">
      <c r="H3935" t="s">
        <v>70</v>
      </c>
    </row>
    <row r="3936" spans="1:23" x14ac:dyDescent="0.25">
      <c r="A3936">
        <v>1965</v>
      </c>
      <c r="B3936">
        <v>2631</v>
      </c>
      <c r="C3936" t="s">
        <v>5415</v>
      </c>
      <c r="D3936" t="s">
        <v>58</v>
      </c>
      <c r="E3936" t="s">
        <v>68</v>
      </c>
      <c r="F3936" t="s">
        <v>5416</v>
      </c>
      <c r="G3936" t="str">
        <f>"00227974"</f>
        <v>00227974</v>
      </c>
      <c r="H3936">
        <v>935</v>
      </c>
      <c r="I3936">
        <v>0</v>
      </c>
      <c r="J3936">
        <v>30</v>
      </c>
      <c r="K3936">
        <v>0</v>
      </c>
      <c r="L3936">
        <v>0</v>
      </c>
      <c r="M3936">
        <v>0</v>
      </c>
      <c r="N3936">
        <v>0</v>
      </c>
      <c r="O3936">
        <v>0</v>
      </c>
      <c r="P3936">
        <v>30</v>
      </c>
      <c r="Q3936">
        <v>0</v>
      </c>
      <c r="R3936">
        <v>0</v>
      </c>
      <c r="S3936">
        <v>0</v>
      </c>
      <c r="T3936">
        <v>0</v>
      </c>
      <c r="V3936">
        <v>0</v>
      </c>
      <c r="W3936">
        <v>995</v>
      </c>
    </row>
    <row r="3937" spans="1:23" x14ac:dyDescent="0.25">
      <c r="H3937">
        <v>703</v>
      </c>
    </row>
    <row r="3938" spans="1:23" x14ac:dyDescent="0.25">
      <c r="A3938">
        <v>1966</v>
      </c>
      <c r="B3938">
        <v>2678</v>
      </c>
      <c r="C3938" t="s">
        <v>5417</v>
      </c>
      <c r="D3938" t="s">
        <v>32</v>
      </c>
      <c r="E3938" t="s">
        <v>53</v>
      </c>
      <c r="F3938" t="s">
        <v>5418</v>
      </c>
      <c r="G3938" t="str">
        <f>"201412004811"</f>
        <v>201412004811</v>
      </c>
      <c r="H3938">
        <v>880</v>
      </c>
      <c r="I3938">
        <v>0</v>
      </c>
      <c r="J3938">
        <v>30</v>
      </c>
      <c r="K3938">
        <v>0</v>
      </c>
      <c r="L3938">
        <v>0</v>
      </c>
      <c r="M3938">
        <v>50</v>
      </c>
      <c r="N3938">
        <v>0</v>
      </c>
      <c r="O3938">
        <v>0</v>
      </c>
      <c r="P3938">
        <v>0</v>
      </c>
      <c r="Q3938">
        <v>0</v>
      </c>
      <c r="R3938">
        <v>5</v>
      </c>
      <c r="S3938">
        <v>35</v>
      </c>
      <c r="T3938">
        <v>0</v>
      </c>
      <c r="V3938">
        <v>0</v>
      </c>
      <c r="W3938">
        <v>995</v>
      </c>
    </row>
    <row r="3939" spans="1:23" x14ac:dyDescent="0.25">
      <c r="H3939" t="s">
        <v>70</v>
      </c>
    </row>
    <row r="3940" spans="1:23" x14ac:dyDescent="0.25">
      <c r="A3940">
        <v>1967</v>
      </c>
      <c r="B3940">
        <v>547</v>
      </c>
      <c r="C3940" t="s">
        <v>2754</v>
      </c>
      <c r="D3940" t="s">
        <v>155</v>
      </c>
      <c r="E3940" t="s">
        <v>41</v>
      </c>
      <c r="F3940" t="s">
        <v>5419</v>
      </c>
      <c r="G3940" t="str">
        <f>"201602000248"</f>
        <v>201602000248</v>
      </c>
      <c r="H3940" t="s">
        <v>5420</v>
      </c>
      <c r="I3940">
        <v>0</v>
      </c>
      <c r="J3940">
        <v>0</v>
      </c>
      <c r="K3940">
        <v>0</v>
      </c>
      <c r="L3940">
        <v>0</v>
      </c>
      <c r="M3940">
        <v>0</v>
      </c>
      <c r="N3940">
        <v>0</v>
      </c>
      <c r="O3940">
        <v>0</v>
      </c>
      <c r="P3940">
        <v>0</v>
      </c>
      <c r="Q3940">
        <v>0</v>
      </c>
      <c r="R3940">
        <v>45</v>
      </c>
      <c r="S3940">
        <v>315</v>
      </c>
      <c r="T3940">
        <v>0</v>
      </c>
      <c r="V3940">
        <v>0</v>
      </c>
      <c r="W3940" t="s">
        <v>5421</v>
      </c>
    </row>
    <row r="3941" spans="1:23" x14ac:dyDescent="0.25">
      <c r="H3941">
        <v>703</v>
      </c>
    </row>
    <row r="3942" spans="1:23" x14ac:dyDescent="0.25">
      <c r="A3942">
        <v>1968</v>
      </c>
      <c r="B3942">
        <v>1723</v>
      </c>
      <c r="C3942" t="s">
        <v>5422</v>
      </c>
      <c r="D3942" t="s">
        <v>28</v>
      </c>
      <c r="E3942" t="s">
        <v>62</v>
      </c>
      <c r="F3942" t="s">
        <v>5423</v>
      </c>
      <c r="G3942" t="str">
        <f>"200804000210"</f>
        <v>200804000210</v>
      </c>
      <c r="H3942" t="s">
        <v>363</v>
      </c>
      <c r="I3942">
        <v>0</v>
      </c>
      <c r="J3942">
        <v>0</v>
      </c>
      <c r="K3942">
        <v>0</v>
      </c>
      <c r="L3942">
        <v>0</v>
      </c>
      <c r="M3942">
        <v>0</v>
      </c>
      <c r="N3942">
        <v>0</v>
      </c>
      <c r="O3942">
        <v>0</v>
      </c>
      <c r="P3942">
        <v>0</v>
      </c>
      <c r="Q3942">
        <v>0</v>
      </c>
      <c r="R3942">
        <v>0</v>
      </c>
      <c r="S3942">
        <v>0</v>
      </c>
      <c r="T3942">
        <v>0</v>
      </c>
      <c r="V3942">
        <v>0</v>
      </c>
      <c r="W3942" t="s">
        <v>363</v>
      </c>
    </row>
    <row r="3943" spans="1:23" x14ac:dyDescent="0.25">
      <c r="H3943">
        <v>703</v>
      </c>
    </row>
    <row r="3944" spans="1:23" x14ac:dyDescent="0.25">
      <c r="A3944">
        <v>1969</v>
      </c>
      <c r="B3944">
        <v>964</v>
      </c>
      <c r="C3944" t="s">
        <v>5424</v>
      </c>
      <c r="D3944" t="s">
        <v>2189</v>
      </c>
      <c r="E3944" t="s">
        <v>5425</v>
      </c>
      <c r="F3944" t="s">
        <v>5426</v>
      </c>
      <c r="G3944" t="str">
        <f>"201511034123"</f>
        <v>201511034123</v>
      </c>
      <c r="H3944">
        <v>924</v>
      </c>
      <c r="I3944">
        <v>0</v>
      </c>
      <c r="J3944">
        <v>70</v>
      </c>
      <c r="K3944">
        <v>0</v>
      </c>
      <c r="L3944">
        <v>0</v>
      </c>
      <c r="M3944">
        <v>0</v>
      </c>
      <c r="N3944">
        <v>0</v>
      </c>
      <c r="O3944">
        <v>0</v>
      </c>
      <c r="P3944">
        <v>0</v>
      </c>
      <c r="Q3944">
        <v>0</v>
      </c>
      <c r="R3944">
        <v>0</v>
      </c>
      <c r="S3944">
        <v>0</v>
      </c>
      <c r="T3944">
        <v>0</v>
      </c>
      <c r="V3944">
        <v>0</v>
      </c>
      <c r="W3944">
        <v>994</v>
      </c>
    </row>
    <row r="3945" spans="1:23" x14ac:dyDescent="0.25">
      <c r="H3945" t="s">
        <v>26</v>
      </c>
    </row>
    <row r="3946" spans="1:23" x14ac:dyDescent="0.25">
      <c r="A3946">
        <v>1970</v>
      </c>
      <c r="B3946">
        <v>856</v>
      </c>
      <c r="C3946" t="s">
        <v>5427</v>
      </c>
      <c r="D3946" t="s">
        <v>4760</v>
      </c>
      <c r="E3946" t="s">
        <v>303</v>
      </c>
      <c r="F3946" t="s">
        <v>5428</v>
      </c>
      <c r="G3946" t="str">
        <f>"00221030"</f>
        <v>00221030</v>
      </c>
      <c r="H3946">
        <v>924</v>
      </c>
      <c r="I3946">
        <v>0</v>
      </c>
      <c r="J3946">
        <v>70</v>
      </c>
      <c r="K3946">
        <v>0</v>
      </c>
      <c r="L3946">
        <v>0</v>
      </c>
      <c r="M3946">
        <v>0</v>
      </c>
      <c r="N3946">
        <v>0</v>
      </c>
      <c r="O3946">
        <v>0</v>
      </c>
      <c r="P3946">
        <v>0</v>
      </c>
      <c r="Q3946">
        <v>0</v>
      </c>
      <c r="R3946">
        <v>0</v>
      </c>
      <c r="S3946">
        <v>0</v>
      </c>
      <c r="T3946">
        <v>0</v>
      </c>
      <c r="V3946">
        <v>0</v>
      </c>
      <c r="W3946">
        <v>994</v>
      </c>
    </row>
    <row r="3947" spans="1:23" x14ac:dyDescent="0.25">
      <c r="H3947">
        <v>703</v>
      </c>
    </row>
    <row r="3948" spans="1:23" x14ac:dyDescent="0.25">
      <c r="A3948">
        <v>1971</v>
      </c>
      <c r="B3948">
        <v>2641</v>
      </c>
      <c r="C3948" t="s">
        <v>5429</v>
      </c>
      <c r="D3948" t="s">
        <v>273</v>
      </c>
      <c r="E3948" t="s">
        <v>15</v>
      </c>
      <c r="F3948" t="s">
        <v>5430</v>
      </c>
      <c r="G3948" t="str">
        <f>"201409000055"</f>
        <v>201409000055</v>
      </c>
      <c r="H3948">
        <v>913</v>
      </c>
      <c r="I3948">
        <v>0</v>
      </c>
      <c r="J3948">
        <v>50</v>
      </c>
      <c r="K3948">
        <v>0</v>
      </c>
      <c r="L3948">
        <v>0</v>
      </c>
      <c r="M3948">
        <v>0</v>
      </c>
      <c r="N3948">
        <v>30</v>
      </c>
      <c r="O3948">
        <v>0</v>
      </c>
      <c r="P3948">
        <v>0</v>
      </c>
      <c r="Q3948">
        <v>0</v>
      </c>
      <c r="R3948">
        <v>0</v>
      </c>
      <c r="S3948">
        <v>0</v>
      </c>
      <c r="T3948">
        <v>0</v>
      </c>
      <c r="V3948">
        <v>0</v>
      </c>
      <c r="W3948">
        <v>993</v>
      </c>
    </row>
    <row r="3949" spans="1:23" x14ac:dyDescent="0.25">
      <c r="H3949" t="s">
        <v>26</v>
      </c>
    </row>
    <row r="3950" spans="1:23" x14ac:dyDescent="0.25">
      <c r="A3950">
        <v>1972</v>
      </c>
      <c r="B3950">
        <v>2755</v>
      </c>
      <c r="C3950" t="s">
        <v>144</v>
      </c>
      <c r="D3950" t="s">
        <v>113</v>
      </c>
      <c r="E3950" t="s">
        <v>5431</v>
      </c>
      <c r="F3950" t="s">
        <v>5432</v>
      </c>
      <c r="G3950" t="str">
        <f>"201604005395"</f>
        <v>201604005395</v>
      </c>
      <c r="H3950">
        <v>902</v>
      </c>
      <c r="I3950">
        <v>0</v>
      </c>
      <c r="J3950">
        <v>70</v>
      </c>
      <c r="K3950">
        <v>0</v>
      </c>
      <c r="L3950">
        <v>0</v>
      </c>
      <c r="M3950">
        <v>0</v>
      </c>
      <c r="N3950">
        <v>0</v>
      </c>
      <c r="O3950">
        <v>0</v>
      </c>
      <c r="P3950">
        <v>0</v>
      </c>
      <c r="Q3950">
        <v>0</v>
      </c>
      <c r="R3950">
        <v>3</v>
      </c>
      <c r="S3950">
        <v>21</v>
      </c>
      <c r="T3950">
        <v>0</v>
      </c>
      <c r="V3950">
        <v>0</v>
      </c>
      <c r="W3950">
        <v>993</v>
      </c>
    </row>
    <row r="3951" spans="1:23" x14ac:dyDescent="0.25">
      <c r="H3951" t="s">
        <v>2316</v>
      </c>
    </row>
    <row r="3952" spans="1:23" x14ac:dyDescent="0.25">
      <c r="A3952">
        <v>1973</v>
      </c>
      <c r="B3952">
        <v>920</v>
      </c>
      <c r="C3952" t="s">
        <v>5433</v>
      </c>
      <c r="D3952" t="s">
        <v>382</v>
      </c>
      <c r="E3952" t="s">
        <v>4975</v>
      </c>
      <c r="F3952" t="s">
        <v>5434</v>
      </c>
      <c r="G3952" t="str">
        <f>"00230804"</f>
        <v>00230804</v>
      </c>
      <c r="H3952" t="s">
        <v>465</v>
      </c>
      <c r="I3952">
        <v>0</v>
      </c>
      <c r="J3952">
        <v>30</v>
      </c>
      <c r="K3952">
        <v>0</v>
      </c>
      <c r="L3952">
        <v>0</v>
      </c>
      <c r="M3952">
        <v>0</v>
      </c>
      <c r="N3952">
        <v>0</v>
      </c>
      <c r="O3952">
        <v>0</v>
      </c>
      <c r="P3952">
        <v>0</v>
      </c>
      <c r="Q3952">
        <v>0</v>
      </c>
      <c r="R3952">
        <v>0</v>
      </c>
      <c r="S3952">
        <v>0</v>
      </c>
      <c r="T3952">
        <v>0</v>
      </c>
      <c r="V3952">
        <v>0</v>
      </c>
      <c r="W3952" t="s">
        <v>5435</v>
      </c>
    </row>
    <row r="3953" spans="1:23" x14ac:dyDescent="0.25">
      <c r="H3953">
        <v>703</v>
      </c>
    </row>
    <row r="3954" spans="1:23" x14ac:dyDescent="0.25">
      <c r="A3954">
        <v>1974</v>
      </c>
      <c r="B3954">
        <v>3194</v>
      </c>
      <c r="C3954" t="s">
        <v>5436</v>
      </c>
      <c r="D3954" t="s">
        <v>273</v>
      </c>
      <c r="E3954" t="s">
        <v>21</v>
      </c>
      <c r="F3954" t="s">
        <v>5437</v>
      </c>
      <c r="G3954" t="str">
        <f>"00036393"</f>
        <v>00036393</v>
      </c>
      <c r="H3954" t="s">
        <v>465</v>
      </c>
      <c r="I3954">
        <v>0</v>
      </c>
      <c r="J3954">
        <v>30</v>
      </c>
      <c r="K3954">
        <v>0</v>
      </c>
      <c r="L3954">
        <v>0</v>
      </c>
      <c r="M3954">
        <v>0</v>
      </c>
      <c r="N3954">
        <v>0</v>
      </c>
      <c r="O3954">
        <v>0</v>
      </c>
      <c r="P3954">
        <v>0</v>
      </c>
      <c r="Q3954">
        <v>0</v>
      </c>
      <c r="R3954">
        <v>0</v>
      </c>
      <c r="S3954">
        <v>0</v>
      </c>
      <c r="T3954">
        <v>0</v>
      </c>
      <c r="V3954">
        <v>0</v>
      </c>
      <c r="W3954" t="s">
        <v>5435</v>
      </c>
    </row>
    <row r="3955" spans="1:23" x14ac:dyDescent="0.25">
      <c r="H3955">
        <v>703</v>
      </c>
    </row>
    <row r="3956" spans="1:23" x14ac:dyDescent="0.25">
      <c r="A3956">
        <v>1975</v>
      </c>
      <c r="B3956">
        <v>452</v>
      </c>
      <c r="C3956" t="s">
        <v>5438</v>
      </c>
      <c r="D3956" t="s">
        <v>37</v>
      </c>
      <c r="E3956" t="s">
        <v>91</v>
      </c>
      <c r="F3956" t="s">
        <v>5439</v>
      </c>
      <c r="G3956" t="str">
        <f>"00088876"</f>
        <v>00088876</v>
      </c>
      <c r="H3956" t="s">
        <v>465</v>
      </c>
      <c r="I3956">
        <v>0</v>
      </c>
      <c r="J3956">
        <v>30</v>
      </c>
      <c r="K3956">
        <v>0</v>
      </c>
      <c r="L3956">
        <v>0</v>
      </c>
      <c r="M3956">
        <v>0</v>
      </c>
      <c r="N3956">
        <v>0</v>
      </c>
      <c r="O3956">
        <v>0</v>
      </c>
      <c r="P3956">
        <v>0</v>
      </c>
      <c r="Q3956">
        <v>0</v>
      </c>
      <c r="R3956">
        <v>0</v>
      </c>
      <c r="S3956">
        <v>0</v>
      </c>
      <c r="T3956">
        <v>0</v>
      </c>
      <c r="V3956">
        <v>0</v>
      </c>
      <c r="W3956" t="s">
        <v>5435</v>
      </c>
    </row>
    <row r="3957" spans="1:23" x14ac:dyDescent="0.25">
      <c r="H3957">
        <v>703</v>
      </c>
    </row>
    <row r="3958" spans="1:23" x14ac:dyDescent="0.25">
      <c r="A3958">
        <v>1976</v>
      </c>
      <c r="B3958">
        <v>1263</v>
      </c>
      <c r="C3958" t="s">
        <v>45</v>
      </c>
      <c r="D3958" t="s">
        <v>46</v>
      </c>
      <c r="E3958" t="s">
        <v>41</v>
      </c>
      <c r="F3958" t="s">
        <v>5440</v>
      </c>
      <c r="G3958" t="str">
        <f>"00158813"</f>
        <v>00158813</v>
      </c>
      <c r="H3958" t="s">
        <v>2419</v>
      </c>
      <c r="I3958">
        <v>150</v>
      </c>
      <c r="J3958">
        <v>30</v>
      </c>
      <c r="K3958">
        <v>0</v>
      </c>
      <c r="L3958">
        <v>0</v>
      </c>
      <c r="M3958">
        <v>0</v>
      </c>
      <c r="N3958">
        <v>0</v>
      </c>
      <c r="O3958">
        <v>0</v>
      </c>
      <c r="P3958">
        <v>0</v>
      </c>
      <c r="Q3958">
        <v>0</v>
      </c>
      <c r="R3958">
        <v>10</v>
      </c>
      <c r="S3958">
        <v>70</v>
      </c>
      <c r="T3958">
        <v>0</v>
      </c>
      <c r="V3958">
        <v>0</v>
      </c>
      <c r="W3958" t="s">
        <v>5435</v>
      </c>
    </row>
    <row r="3959" spans="1:23" x14ac:dyDescent="0.25">
      <c r="H3959">
        <v>703</v>
      </c>
    </row>
    <row r="3960" spans="1:23" x14ac:dyDescent="0.25">
      <c r="A3960">
        <v>1977</v>
      </c>
      <c r="B3960">
        <v>1812</v>
      </c>
      <c r="C3960" t="s">
        <v>5441</v>
      </c>
      <c r="D3960" t="s">
        <v>1476</v>
      </c>
      <c r="E3960" t="s">
        <v>37</v>
      </c>
      <c r="F3960" t="s">
        <v>5442</v>
      </c>
      <c r="G3960" t="str">
        <f>"00150872"</f>
        <v>00150872</v>
      </c>
      <c r="H3960">
        <v>990</v>
      </c>
      <c r="I3960">
        <v>0</v>
      </c>
      <c r="J3960">
        <v>0</v>
      </c>
      <c r="K3960">
        <v>0</v>
      </c>
      <c r="L3960">
        <v>0</v>
      </c>
      <c r="M3960">
        <v>0</v>
      </c>
      <c r="N3960">
        <v>0</v>
      </c>
      <c r="O3960">
        <v>0</v>
      </c>
      <c r="P3960">
        <v>0</v>
      </c>
      <c r="Q3960">
        <v>0</v>
      </c>
      <c r="R3960">
        <v>0</v>
      </c>
      <c r="S3960">
        <v>0</v>
      </c>
      <c r="T3960">
        <v>0</v>
      </c>
      <c r="V3960">
        <v>0</v>
      </c>
      <c r="W3960">
        <v>990</v>
      </c>
    </row>
    <row r="3961" spans="1:23" x14ac:dyDescent="0.25">
      <c r="H3961">
        <v>703</v>
      </c>
    </row>
    <row r="3962" spans="1:23" x14ac:dyDescent="0.25">
      <c r="A3962">
        <v>1978</v>
      </c>
      <c r="B3962">
        <v>224</v>
      </c>
      <c r="C3962" t="s">
        <v>5443</v>
      </c>
      <c r="D3962" t="s">
        <v>109</v>
      </c>
      <c r="E3962" t="s">
        <v>41</v>
      </c>
      <c r="F3962" t="s">
        <v>5444</v>
      </c>
      <c r="G3962" t="str">
        <f>"201412005655"</f>
        <v>201412005655</v>
      </c>
      <c r="H3962">
        <v>990</v>
      </c>
      <c r="I3962">
        <v>0</v>
      </c>
      <c r="J3962">
        <v>0</v>
      </c>
      <c r="K3962">
        <v>0</v>
      </c>
      <c r="L3962">
        <v>0</v>
      </c>
      <c r="M3962">
        <v>0</v>
      </c>
      <c r="N3962">
        <v>0</v>
      </c>
      <c r="O3962">
        <v>0</v>
      </c>
      <c r="P3962">
        <v>0</v>
      </c>
      <c r="Q3962">
        <v>0</v>
      </c>
      <c r="R3962">
        <v>0</v>
      </c>
      <c r="S3962">
        <v>0</v>
      </c>
      <c r="T3962">
        <v>0</v>
      </c>
      <c r="V3962">
        <v>0</v>
      </c>
      <c r="W3962">
        <v>990</v>
      </c>
    </row>
    <row r="3963" spans="1:23" x14ac:dyDescent="0.25">
      <c r="H3963">
        <v>703</v>
      </c>
    </row>
    <row r="3964" spans="1:23" x14ac:dyDescent="0.25">
      <c r="A3964">
        <v>1979</v>
      </c>
      <c r="B3964">
        <v>1873</v>
      </c>
      <c r="C3964" t="s">
        <v>5445</v>
      </c>
      <c r="D3964" t="s">
        <v>5446</v>
      </c>
      <c r="E3964" t="s">
        <v>33</v>
      </c>
      <c r="F3964" t="s">
        <v>5447</v>
      </c>
      <c r="G3964" t="str">
        <f>"00228378"</f>
        <v>00228378</v>
      </c>
      <c r="H3964">
        <v>990</v>
      </c>
      <c r="I3964">
        <v>0</v>
      </c>
      <c r="J3964">
        <v>0</v>
      </c>
      <c r="K3964">
        <v>0</v>
      </c>
      <c r="L3964">
        <v>0</v>
      </c>
      <c r="M3964">
        <v>0</v>
      </c>
      <c r="N3964">
        <v>0</v>
      </c>
      <c r="O3964">
        <v>0</v>
      </c>
      <c r="P3964">
        <v>0</v>
      </c>
      <c r="Q3964">
        <v>0</v>
      </c>
      <c r="R3964">
        <v>0</v>
      </c>
      <c r="S3964">
        <v>0</v>
      </c>
      <c r="T3964">
        <v>0</v>
      </c>
      <c r="V3964">
        <v>0</v>
      </c>
      <c r="W3964">
        <v>990</v>
      </c>
    </row>
    <row r="3965" spans="1:23" x14ac:dyDescent="0.25">
      <c r="H3965">
        <v>703</v>
      </c>
    </row>
    <row r="3966" spans="1:23" x14ac:dyDescent="0.25">
      <c r="A3966">
        <v>1980</v>
      </c>
      <c r="B3966">
        <v>1043</v>
      </c>
      <c r="C3966" t="s">
        <v>3094</v>
      </c>
      <c r="D3966" t="s">
        <v>99</v>
      </c>
      <c r="E3966" t="s">
        <v>5448</v>
      </c>
      <c r="F3966" t="s">
        <v>5449</v>
      </c>
      <c r="G3966" t="str">
        <f>"00163276"</f>
        <v>00163276</v>
      </c>
      <c r="H3966">
        <v>990</v>
      </c>
      <c r="I3966">
        <v>0</v>
      </c>
      <c r="J3966">
        <v>0</v>
      </c>
      <c r="K3966">
        <v>0</v>
      </c>
      <c r="L3966">
        <v>0</v>
      </c>
      <c r="M3966">
        <v>0</v>
      </c>
      <c r="N3966">
        <v>0</v>
      </c>
      <c r="O3966">
        <v>0</v>
      </c>
      <c r="P3966">
        <v>0</v>
      </c>
      <c r="Q3966">
        <v>0</v>
      </c>
      <c r="R3966">
        <v>0</v>
      </c>
      <c r="S3966">
        <v>0</v>
      </c>
      <c r="T3966">
        <v>0</v>
      </c>
      <c r="V3966">
        <v>0</v>
      </c>
      <c r="W3966">
        <v>990</v>
      </c>
    </row>
    <row r="3967" spans="1:23" x14ac:dyDescent="0.25">
      <c r="H3967" t="s">
        <v>70</v>
      </c>
    </row>
    <row r="3968" spans="1:23" x14ac:dyDescent="0.25">
      <c r="A3968">
        <v>1981</v>
      </c>
      <c r="B3968">
        <v>407</v>
      </c>
      <c r="C3968" t="s">
        <v>5450</v>
      </c>
      <c r="D3968" t="s">
        <v>76</v>
      </c>
      <c r="E3968" t="s">
        <v>105</v>
      </c>
      <c r="F3968" t="s">
        <v>5451</v>
      </c>
      <c r="G3968" t="str">
        <f>"00229965"</f>
        <v>00229965</v>
      </c>
      <c r="H3968">
        <v>990</v>
      </c>
      <c r="I3968">
        <v>0</v>
      </c>
      <c r="J3968">
        <v>0</v>
      </c>
      <c r="K3968">
        <v>0</v>
      </c>
      <c r="L3968">
        <v>0</v>
      </c>
      <c r="M3968">
        <v>0</v>
      </c>
      <c r="N3968">
        <v>0</v>
      </c>
      <c r="O3968">
        <v>0</v>
      </c>
      <c r="P3968">
        <v>0</v>
      </c>
      <c r="Q3968">
        <v>0</v>
      </c>
      <c r="R3968">
        <v>0</v>
      </c>
      <c r="S3968">
        <v>0</v>
      </c>
      <c r="T3968">
        <v>0</v>
      </c>
      <c r="V3968">
        <v>0</v>
      </c>
      <c r="W3968">
        <v>990</v>
      </c>
    </row>
    <row r="3969" spans="1:23" x14ac:dyDescent="0.25">
      <c r="H3969">
        <v>703</v>
      </c>
    </row>
    <row r="3970" spans="1:23" x14ac:dyDescent="0.25">
      <c r="A3970">
        <v>1982</v>
      </c>
      <c r="B3970">
        <v>733</v>
      </c>
      <c r="C3970" t="s">
        <v>5452</v>
      </c>
      <c r="D3970" t="s">
        <v>629</v>
      </c>
      <c r="E3970" t="s">
        <v>297</v>
      </c>
      <c r="F3970" t="s">
        <v>5453</v>
      </c>
      <c r="G3970" t="str">
        <f>"00226370"</f>
        <v>00226370</v>
      </c>
      <c r="H3970" t="s">
        <v>5454</v>
      </c>
      <c r="I3970">
        <v>0</v>
      </c>
      <c r="J3970">
        <v>0</v>
      </c>
      <c r="K3970">
        <v>0</v>
      </c>
      <c r="L3970">
        <v>0</v>
      </c>
      <c r="M3970">
        <v>0</v>
      </c>
      <c r="N3970">
        <v>0</v>
      </c>
      <c r="O3970">
        <v>0</v>
      </c>
      <c r="P3970">
        <v>0</v>
      </c>
      <c r="Q3970">
        <v>0</v>
      </c>
      <c r="R3970">
        <v>35</v>
      </c>
      <c r="S3970">
        <v>245</v>
      </c>
      <c r="T3970">
        <v>0</v>
      </c>
      <c r="V3970">
        <v>0</v>
      </c>
      <c r="W3970" t="s">
        <v>5455</v>
      </c>
    </row>
    <row r="3971" spans="1:23" x14ac:dyDescent="0.25">
      <c r="H3971">
        <v>703</v>
      </c>
    </row>
    <row r="3972" spans="1:23" x14ac:dyDescent="0.25">
      <c r="A3972">
        <v>1983</v>
      </c>
      <c r="B3972">
        <v>2037</v>
      </c>
      <c r="C3972" t="s">
        <v>5456</v>
      </c>
      <c r="D3972" t="s">
        <v>53</v>
      </c>
      <c r="E3972" t="s">
        <v>76</v>
      </c>
      <c r="F3972" t="s">
        <v>5457</v>
      </c>
      <c r="G3972" t="str">
        <f>"00101520"</f>
        <v>00101520</v>
      </c>
      <c r="H3972" t="s">
        <v>840</v>
      </c>
      <c r="I3972">
        <v>0</v>
      </c>
      <c r="J3972">
        <v>70</v>
      </c>
      <c r="K3972">
        <v>0</v>
      </c>
      <c r="L3972">
        <v>0</v>
      </c>
      <c r="M3972">
        <v>0</v>
      </c>
      <c r="N3972">
        <v>0</v>
      </c>
      <c r="O3972">
        <v>0</v>
      </c>
      <c r="P3972">
        <v>0</v>
      </c>
      <c r="Q3972">
        <v>0</v>
      </c>
      <c r="R3972">
        <v>0</v>
      </c>
      <c r="S3972">
        <v>0</v>
      </c>
      <c r="T3972">
        <v>0</v>
      </c>
      <c r="V3972">
        <v>1</v>
      </c>
      <c r="W3972" t="s">
        <v>5458</v>
      </c>
    </row>
    <row r="3973" spans="1:23" x14ac:dyDescent="0.25">
      <c r="H3973">
        <v>703</v>
      </c>
    </row>
    <row r="3974" spans="1:23" x14ac:dyDescent="0.25">
      <c r="A3974">
        <v>1984</v>
      </c>
      <c r="B3974">
        <v>650</v>
      </c>
      <c r="C3974" t="s">
        <v>5459</v>
      </c>
      <c r="D3974" t="s">
        <v>1075</v>
      </c>
      <c r="E3974" t="s">
        <v>1383</v>
      </c>
      <c r="F3974" t="s">
        <v>5460</v>
      </c>
      <c r="G3974" t="str">
        <f>"00010863"</f>
        <v>00010863</v>
      </c>
      <c r="H3974">
        <v>847</v>
      </c>
      <c r="I3974">
        <v>0</v>
      </c>
      <c r="J3974">
        <v>70</v>
      </c>
      <c r="K3974">
        <v>70</v>
      </c>
      <c r="L3974">
        <v>0</v>
      </c>
      <c r="M3974">
        <v>0</v>
      </c>
      <c r="N3974">
        <v>0</v>
      </c>
      <c r="O3974">
        <v>0</v>
      </c>
      <c r="P3974">
        <v>0</v>
      </c>
      <c r="Q3974">
        <v>0</v>
      </c>
      <c r="R3974">
        <v>0</v>
      </c>
      <c r="S3974">
        <v>0</v>
      </c>
      <c r="T3974">
        <v>0</v>
      </c>
      <c r="V3974">
        <v>1</v>
      </c>
      <c r="W3974">
        <v>987</v>
      </c>
    </row>
    <row r="3975" spans="1:23" x14ac:dyDescent="0.25">
      <c r="H3975" t="s">
        <v>26</v>
      </c>
    </row>
    <row r="3976" spans="1:23" x14ac:dyDescent="0.25">
      <c r="A3976">
        <v>1985</v>
      </c>
      <c r="B3976">
        <v>1844</v>
      </c>
      <c r="C3976" t="s">
        <v>3031</v>
      </c>
      <c r="D3976" t="s">
        <v>134</v>
      </c>
      <c r="E3976" t="s">
        <v>3141</v>
      </c>
      <c r="F3976" t="s">
        <v>5461</v>
      </c>
      <c r="G3976" t="str">
        <f>"201511020890"</f>
        <v>201511020890</v>
      </c>
      <c r="H3976">
        <v>770</v>
      </c>
      <c r="I3976">
        <v>0</v>
      </c>
      <c r="J3976">
        <v>0</v>
      </c>
      <c r="K3976">
        <v>0</v>
      </c>
      <c r="L3976">
        <v>0</v>
      </c>
      <c r="M3976">
        <v>0</v>
      </c>
      <c r="N3976">
        <v>0</v>
      </c>
      <c r="O3976">
        <v>0</v>
      </c>
      <c r="P3976">
        <v>0</v>
      </c>
      <c r="Q3976">
        <v>0</v>
      </c>
      <c r="R3976">
        <v>31</v>
      </c>
      <c r="S3976">
        <v>217</v>
      </c>
      <c r="T3976">
        <v>0</v>
      </c>
      <c r="V3976">
        <v>0</v>
      </c>
      <c r="W3976">
        <v>987</v>
      </c>
    </row>
    <row r="3977" spans="1:23" x14ac:dyDescent="0.25">
      <c r="H3977">
        <v>703</v>
      </c>
    </row>
    <row r="3978" spans="1:23" x14ac:dyDescent="0.25">
      <c r="A3978">
        <v>1986</v>
      </c>
      <c r="B3978">
        <v>2385</v>
      </c>
      <c r="C3978" t="s">
        <v>5462</v>
      </c>
      <c r="D3978" t="s">
        <v>2503</v>
      </c>
      <c r="E3978" t="s">
        <v>53</v>
      </c>
      <c r="F3978" t="s">
        <v>5463</v>
      </c>
      <c r="G3978" t="str">
        <f>"201002000217"</f>
        <v>201002000217</v>
      </c>
      <c r="H3978" t="s">
        <v>2374</v>
      </c>
      <c r="I3978">
        <v>0</v>
      </c>
      <c r="J3978">
        <v>70</v>
      </c>
      <c r="K3978">
        <v>0</v>
      </c>
      <c r="L3978">
        <v>0</v>
      </c>
      <c r="M3978">
        <v>0</v>
      </c>
      <c r="N3978">
        <v>0</v>
      </c>
      <c r="O3978">
        <v>0</v>
      </c>
      <c r="P3978">
        <v>0</v>
      </c>
      <c r="Q3978">
        <v>0</v>
      </c>
      <c r="R3978">
        <v>17</v>
      </c>
      <c r="S3978">
        <v>119</v>
      </c>
      <c r="T3978">
        <v>0</v>
      </c>
      <c r="V3978">
        <v>0</v>
      </c>
      <c r="W3978" t="s">
        <v>5464</v>
      </c>
    </row>
    <row r="3979" spans="1:23" x14ac:dyDescent="0.25">
      <c r="H3979">
        <v>703</v>
      </c>
    </row>
    <row r="3980" spans="1:23" x14ac:dyDescent="0.25">
      <c r="A3980">
        <v>1987</v>
      </c>
      <c r="B3980">
        <v>1726</v>
      </c>
      <c r="C3980" t="s">
        <v>5465</v>
      </c>
      <c r="D3980" t="s">
        <v>610</v>
      </c>
      <c r="E3980" t="s">
        <v>21</v>
      </c>
      <c r="F3980" t="s">
        <v>5466</v>
      </c>
      <c r="G3980" t="str">
        <f>"201411000265"</f>
        <v>201411000265</v>
      </c>
      <c r="H3980" t="s">
        <v>2576</v>
      </c>
      <c r="I3980">
        <v>0</v>
      </c>
      <c r="J3980">
        <v>50</v>
      </c>
      <c r="K3980">
        <v>0</v>
      </c>
      <c r="L3980">
        <v>0</v>
      </c>
      <c r="M3980">
        <v>0</v>
      </c>
      <c r="N3980">
        <v>0</v>
      </c>
      <c r="O3980">
        <v>0</v>
      </c>
      <c r="P3980">
        <v>0</v>
      </c>
      <c r="Q3980">
        <v>0</v>
      </c>
      <c r="R3980">
        <v>9</v>
      </c>
      <c r="S3980">
        <v>63</v>
      </c>
      <c r="T3980">
        <v>0</v>
      </c>
      <c r="V3980">
        <v>0</v>
      </c>
      <c r="W3980" t="s">
        <v>5467</v>
      </c>
    </row>
    <row r="3981" spans="1:23" x14ac:dyDescent="0.25">
      <c r="H3981">
        <v>703</v>
      </c>
    </row>
    <row r="3982" spans="1:23" x14ac:dyDescent="0.25">
      <c r="A3982">
        <v>1988</v>
      </c>
      <c r="B3982">
        <v>3030</v>
      </c>
      <c r="C3982" t="s">
        <v>5468</v>
      </c>
      <c r="D3982" t="s">
        <v>697</v>
      </c>
      <c r="E3982" t="s">
        <v>41</v>
      </c>
      <c r="F3982" t="s">
        <v>5469</v>
      </c>
      <c r="G3982" t="str">
        <f>"00220702"</f>
        <v>00220702</v>
      </c>
      <c r="H3982">
        <v>836</v>
      </c>
      <c r="I3982">
        <v>150</v>
      </c>
      <c r="J3982">
        <v>0</v>
      </c>
      <c r="K3982">
        <v>0</v>
      </c>
      <c r="L3982">
        <v>0</v>
      </c>
      <c r="M3982">
        <v>0</v>
      </c>
      <c r="N3982">
        <v>0</v>
      </c>
      <c r="O3982">
        <v>0</v>
      </c>
      <c r="P3982">
        <v>0</v>
      </c>
      <c r="Q3982">
        <v>0</v>
      </c>
      <c r="R3982">
        <v>0</v>
      </c>
      <c r="S3982">
        <v>0</v>
      </c>
      <c r="T3982">
        <v>0</v>
      </c>
      <c r="V3982">
        <v>0</v>
      </c>
      <c r="W3982">
        <v>986</v>
      </c>
    </row>
    <row r="3983" spans="1:23" x14ac:dyDescent="0.25">
      <c r="H3983">
        <v>703</v>
      </c>
    </row>
    <row r="3984" spans="1:23" x14ac:dyDescent="0.25">
      <c r="A3984">
        <v>1989</v>
      </c>
      <c r="B3984">
        <v>2178</v>
      </c>
      <c r="C3984" t="s">
        <v>5470</v>
      </c>
      <c r="D3984" t="s">
        <v>219</v>
      </c>
      <c r="E3984" t="s">
        <v>592</v>
      </c>
      <c r="F3984" t="s">
        <v>5471</v>
      </c>
      <c r="G3984" t="str">
        <f>"00226180"</f>
        <v>00226180</v>
      </c>
      <c r="H3984" t="s">
        <v>1238</v>
      </c>
      <c r="I3984">
        <v>0</v>
      </c>
      <c r="J3984">
        <v>50</v>
      </c>
      <c r="K3984">
        <v>0</v>
      </c>
      <c r="L3984">
        <v>50</v>
      </c>
      <c r="M3984">
        <v>0</v>
      </c>
      <c r="N3984">
        <v>0</v>
      </c>
      <c r="O3984">
        <v>0</v>
      </c>
      <c r="P3984">
        <v>0</v>
      </c>
      <c r="Q3984">
        <v>0</v>
      </c>
      <c r="R3984">
        <v>0</v>
      </c>
      <c r="S3984">
        <v>0</v>
      </c>
      <c r="T3984">
        <v>0</v>
      </c>
      <c r="V3984">
        <v>0</v>
      </c>
      <c r="W3984" t="s">
        <v>5472</v>
      </c>
    </row>
    <row r="3985" spans="1:23" x14ac:dyDescent="0.25">
      <c r="H3985">
        <v>703</v>
      </c>
    </row>
    <row r="3986" spans="1:23" x14ac:dyDescent="0.25">
      <c r="A3986">
        <v>1990</v>
      </c>
      <c r="B3986">
        <v>1074</v>
      </c>
      <c r="C3986" t="s">
        <v>5473</v>
      </c>
      <c r="D3986" t="s">
        <v>112</v>
      </c>
      <c r="E3986" t="s">
        <v>105</v>
      </c>
      <c r="F3986" t="s">
        <v>5474</v>
      </c>
      <c r="G3986" t="str">
        <f>"00220328"</f>
        <v>00220328</v>
      </c>
      <c r="H3986" t="s">
        <v>2419</v>
      </c>
      <c r="I3986">
        <v>150</v>
      </c>
      <c r="J3986">
        <v>50</v>
      </c>
      <c r="K3986">
        <v>0</v>
      </c>
      <c r="L3986">
        <v>0</v>
      </c>
      <c r="M3986">
        <v>0</v>
      </c>
      <c r="N3986">
        <v>0</v>
      </c>
      <c r="O3986">
        <v>0</v>
      </c>
      <c r="P3986">
        <v>0</v>
      </c>
      <c r="Q3986">
        <v>0</v>
      </c>
      <c r="R3986">
        <v>6</v>
      </c>
      <c r="S3986">
        <v>42</v>
      </c>
      <c r="T3986">
        <v>0</v>
      </c>
      <c r="V3986">
        <v>0</v>
      </c>
      <c r="W3986" t="s">
        <v>202</v>
      </c>
    </row>
    <row r="3987" spans="1:23" x14ac:dyDescent="0.25">
      <c r="H3987">
        <v>703</v>
      </c>
    </row>
    <row r="3988" spans="1:23" x14ac:dyDescent="0.25">
      <c r="A3988">
        <v>1991</v>
      </c>
      <c r="B3988">
        <v>1413</v>
      </c>
      <c r="C3988" t="s">
        <v>3236</v>
      </c>
      <c r="D3988" t="s">
        <v>273</v>
      </c>
      <c r="E3988" t="s">
        <v>53</v>
      </c>
      <c r="F3988" t="s">
        <v>5475</v>
      </c>
      <c r="G3988" t="str">
        <f>"00226976"</f>
        <v>00226976</v>
      </c>
      <c r="H3988" t="s">
        <v>217</v>
      </c>
      <c r="I3988">
        <v>0</v>
      </c>
      <c r="J3988">
        <v>30</v>
      </c>
      <c r="K3988">
        <v>0</v>
      </c>
      <c r="L3988">
        <v>0</v>
      </c>
      <c r="M3988">
        <v>0</v>
      </c>
      <c r="N3988">
        <v>0</v>
      </c>
      <c r="O3988">
        <v>0</v>
      </c>
      <c r="P3988">
        <v>0</v>
      </c>
      <c r="Q3988">
        <v>0</v>
      </c>
      <c r="R3988">
        <v>0</v>
      </c>
      <c r="S3988">
        <v>0</v>
      </c>
      <c r="T3988">
        <v>0</v>
      </c>
      <c r="V3988">
        <v>0</v>
      </c>
      <c r="W3988" t="s">
        <v>5476</v>
      </c>
    </row>
    <row r="3989" spans="1:23" x14ac:dyDescent="0.25">
      <c r="H3989" t="s">
        <v>70</v>
      </c>
    </row>
    <row r="3990" spans="1:23" x14ac:dyDescent="0.25">
      <c r="A3990">
        <v>1992</v>
      </c>
      <c r="B3990">
        <v>37</v>
      </c>
      <c r="C3990" t="s">
        <v>5477</v>
      </c>
      <c r="D3990" t="s">
        <v>112</v>
      </c>
      <c r="E3990" t="s">
        <v>41</v>
      </c>
      <c r="F3990" t="s">
        <v>5478</v>
      </c>
      <c r="G3990" t="str">
        <f>"201406001230"</f>
        <v>201406001230</v>
      </c>
      <c r="H3990" t="s">
        <v>217</v>
      </c>
      <c r="I3990">
        <v>0</v>
      </c>
      <c r="J3990">
        <v>30</v>
      </c>
      <c r="K3990">
        <v>0</v>
      </c>
      <c r="L3990">
        <v>0</v>
      </c>
      <c r="M3990">
        <v>0</v>
      </c>
      <c r="N3990">
        <v>0</v>
      </c>
      <c r="O3990">
        <v>0</v>
      </c>
      <c r="P3990">
        <v>0</v>
      </c>
      <c r="Q3990">
        <v>0</v>
      </c>
      <c r="R3990">
        <v>0</v>
      </c>
      <c r="S3990">
        <v>0</v>
      </c>
      <c r="T3990">
        <v>0</v>
      </c>
      <c r="V3990">
        <v>0</v>
      </c>
      <c r="W3990" t="s">
        <v>5476</v>
      </c>
    </row>
    <row r="3991" spans="1:23" x14ac:dyDescent="0.25">
      <c r="H3991">
        <v>703</v>
      </c>
    </row>
    <row r="3992" spans="1:23" x14ac:dyDescent="0.25">
      <c r="A3992">
        <v>1993</v>
      </c>
      <c r="B3992">
        <v>1890</v>
      </c>
      <c r="C3992" t="s">
        <v>1869</v>
      </c>
      <c r="D3992" t="s">
        <v>20</v>
      </c>
      <c r="E3992" t="s">
        <v>91</v>
      </c>
      <c r="F3992" t="s">
        <v>5479</v>
      </c>
      <c r="G3992" t="str">
        <f>"00224548"</f>
        <v>00224548</v>
      </c>
      <c r="H3992" t="s">
        <v>217</v>
      </c>
      <c r="I3992">
        <v>0</v>
      </c>
      <c r="J3992">
        <v>30</v>
      </c>
      <c r="K3992">
        <v>0</v>
      </c>
      <c r="L3992">
        <v>0</v>
      </c>
      <c r="M3992">
        <v>0</v>
      </c>
      <c r="N3992">
        <v>0</v>
      </c>
      <c r="O3992">
        <v>0</v>
      </c>
      <c r="P3992">
        <v>0</v>
      </c>
      <c r="Q3992">
        <v>0</v>
      </c>
      <c r="R3992">
        <v>0</v>
      </c>
      <c r="S3992">
        <v>0</v>
      </c>
      <c r="T3992">
        <v>0</v>
      </c>
      <c r="V3992">
        <v>1</v>
      </c>
      <c r="W3992" t="s">
        <v>5476</v>
      </c>
    </row>
    <row r="3993" spans="1:23" x14ac:dyDescent="0.25">
      <c r="H3993">
        <v>703</v>
      </c>
    </row>
    <row r="3994" spans="1:23" x14ac:dyDescent="0.25">
      <c r="A3994">
        <v>1994</v>
      </c>
      <c r="B3994">
        <v>2668</v>
      </c>
      <c r="C3994" t="s">
        <v>923</v>
      </c>
      <c r="D3994" t="s">
        <v>248</v>
      </c>
      <c r="E3994" t="s">
        <v>356</v>
      </c>
      <c r="F3994" t="s">
        <v>5480</v>
      </c>
      <c r="G3994" t="str">
        <f>"00028636"</f>
        <v>00028636</v>
      </c>
      <c r="H3994" t="s">
        <v>1514</v>
      </c>
      <c r="I3994">
        <v>150</v>
      </c>
      <c r="J3994">
        <v>0</v>
      </c>
      <c r="K3994">
        <v>0</v>
      </c>
      <c r="L3994">
        <v>0</v>
      </c>
      <c r="M3994">
        <v>0</v>
      </c>
      <c r="N3994">
        <v>0</v>
      </c>
      <c r="O3994">
        <v>0</v>
      </c>
      <c r="P3994">
        <v>0</v>
      </c>
      <c r="Q3994">
        <v>0</v>
      </c>
      <c r="R3994">
        <v>0</v>
      </c>
      <c r="S3994">
        <v>0</v>
      </c>
      <c r="T3994">
        <v>0</v>
      </c>
      <c r="V3994">
        <v>1</v>
      </c>
      <c r="W3994" t="s">
        <v>5481</v>
      </c>
    </row>
    <row r="3995" spans="1:23" x14ac:dyDescent="0.25">
      <c r="H3995">
        <v>703</v>
      </c>
    </row>
    <row r="3996" spans="1:23" x14ac:dyDescent="0.25">
      <c r="A3996">
        <v>1995</v>
      </c>
      <c r="B3996">
        <v>1282</v>
      </c>
      <c r="C3996" t="s">
        <v>5482</v>
      </c>
      <c r="D3996" t="s">
        <v>912</v>
      </c>
      <c r="E3996" t="s">
        <v>369</v>
      </c>
      <c r="F3996" t="s">
        <v>5483</v>
      </c>
      <c r="G3996" t="str">
        <f>"201412006783"</f>
        <v>201412006783</v>
      </c>
      <c r="H3996" t="s">
        <v>574</v>
      </c>
      <c r="I3996">
        <v>0</v>
      </c>
      <c r="J3996">
        <v>0</v>
      </c>
      <c r="K3996">
        <v>0</v>
      </c>
      <c r="L3996">
        <v>0</v>
      </c>
      <c r="M3996">
        <v>0</v>
      </c>
      <c r="N3996">
        <v>0</v>
      </c>
      <c r="O3996">
        <v>0</v>
      </c>
      <c r="P3996">
        <v>0</v>
      </c>
      <c r="Q3996">
        <v>0</v>
      </c>
      <c r="R3996">
        <v>10</v>
      </c>
      <c r="S3996">
        <v>70</v>
      </c>
      <c r="T3996">
        <v>0</v>
      </c>
      <c r="V3996">
        <v>0</v>
      </c>
      <c r="W3996" t="s">
        <v>5484</v>
      </c>
    </row>
    <row r="3997" spans="1:23" x14ac:dyDescent="0.25">
      <c r="H3997">
        <v>703</v>
      </c>
    </row>
    <row r="3998" spans="1:23" x14ac:dyDescent="0.25">
      <c r="A3998">
        <v>1996</v>
      </c>
      <c r="B3998">
        <v>2581</v>
      </c>
      <c r="C3998" t="s">
        <v>794</v>
      </c>
      <c r="D3998" t="s">
        <v>382</v>
      </c>
      <c r="E3998" t="s">
        <v>322</v>
      </c>
      <c r="F3998" t="s">
        <v>5485</v>
      </c>
      <c r="G3998" t="str">
        <f>"00230718"</f>
        <v>00230718</v>
      </c>
      <c r="H3998" t="s">
        <v>574</v>
      </c>
      <c r="I3998">
        <v>0</v>
      </c>
      <c r="J3998">
        <v>0</v>
      </c>
      <c r="K3998">
        <v>0</v>
      </c>
      <c r="L3998">
        <v>70</v>
      </c>
      <c r="M3998">
        <v>0</v>
      </c>
      <c r="N3998">
        <v>0</v>
      </c>
      <c r="O3998">
        <v>0</v>
      </c>
      <c r="P3998">
        <v>0</v>
      </c>
      <c r="Q3998">
        <v>0</v>
      </c>
      <c r="R3998">
        <v>0</v>
      </c>
      <c r="S3998">
        <v>0</v>
      </c>
      <c r="T3998">
        <v>0</v>
      </c>
      <c r="V3998">
        <v>0</v>
      </c>
      <c r="W3998" t="s">
        <v>5484</v>
      </c>
    </row>
    <row r="3999" spans="1:23" x14ac:dyDescent="0.25">
      <c r="H3999">
        <v>703</v>
      </c>
    </row>
    <row r="4000" spans="1:23" x14ac:dyDescent="0.25">
      <c r="A4000">
        <v>1997</v>
      </c>
      <c r="B4000">
        <v>351</v>
      </c>
      <c r="C4000" t="s">
        <v>5486</v>
      </c>
      <c r="D4000" t="s">
        <v>20</v>
      </c>
      <c r="E4000" t="s">
        <v>41</v>
      </c>
      <c r="F4000" t="s">
        <v>5487</v>
      </c>
      <c r="G4000" t="str">
        <f>"201412002521"</f>
        <v>201412002521</v>
      </c>
      <c r="H4000" t="s">
        <v>2785</v>
      </c>
      <c r="I4000">
        <v>150</v>
      </c>
      <c r="J4000">
        <v>30</v>
      </c>
      <c r="K4000">
        <v>0</v>
      </c>
      <c r="L4000">
        <v>0</v>
      </c>
      <c r="M4000">
        <v>0</v>
      </c>
      <c r="N4000">
        <v>0</v>
      </c>
      <c r="O4000">
        <v>0</v>
      </c>
      <c r="P4000">
        <v>0</v>
      </c>
      <c r="Q4000">
        <v>0</v>
      </c>
      <c r="R4000">
        <v>0</v>
      </c>
      <c r="S4000">
        <v>0</v>
      </c>
      <c r="T4000">
        <v>0</v>
      </c>
      <c r="V4000">
        <v>0</v>
      </c>
      <c r="W4000" t="s">
        <v>5484</v>
      </c>
    </row>
    <row r="4001" spans="1:23" x14ac:dyDescent="0.25">
      <c r="H4001" t="s">
        <v>26</v>
      </c>
    </row>
    <row r="4002" spans="1:23" x14ac:dyDescent="0.25">
      <c r="A4002">
        <v>1998</v>
      </c>
      <c r="B4002">
        <v>554</v>
      </c>
      <c r="C4002" t="s">
        <v>5488</v>
      </c>
      <c r="D4002" t="s">
        <v>32</v>
      </c>
      <c r="E4002" t="s">
        <v>1633</v>
      </c>
      <c r="F4002" t="s">
        <v>5489</v>
      </c>
      <c r="G4002" t="str">
        <f>"201511014193"</f>
        <v>201511014193</v>
      </c>
      <c r="H4002" t="s">
        <v>1532</v>
      </c>
      <c r="I4002">
        <v>0</v>
      </c>
      <c r="J4002">
        <v>50</v>
      </c>
      <c r="K4002">
        <v>0</v>
      </c>
      <c r="L4002">
        <v>0</v>
      </c>
      <c r="M4002">
        <v>0</v>
      </c>
      <c r="N4002">
        <v>0</v>
      </c>
      <c r="O4002">
        <v>0</v>
      </c>
      <c r="P4002">
        <v>0</v>
      </c>
      <c r="Q4002">
        <v>0</v>
      </c>
      <c r="R4002">
        <v>0</v>
      </c>
      <c r="S4002">
        <v>0</v>
      </c>
      <c r="T4002">
        <v>0</v>
      </c>
      <c r="V4002">
        <v>2</v>
      </c>
      <c r="W4002" t="s">
        <v>5490</v>
      </c>
    </row>
    <row r="4003" spans="1:23" x14ac:dyDescent="0.25">
      <c r="H4003" t="s">
        <v>26</v>
      </c>
    </row>
    <row r="4004" spans="1:23" x14ac:dyDescent="0.25">
      <c r="A4004">
        <v>1999</v>
      </c>
      <c r="B4004">
        <v>2813</v>
      </c>
      <c r="C4004" t="s">
        <v>5491</v>
      </c>
      <c r="D4004" t="s">
        <v>5492</v>
      </c>
      <c r="E4004" t="s">
        <v>105</v>
      </c>
      <c r="F4004" t="s">
        <v>5493</v>
      </c>
      <c r="G4004" t="str">
        <f>"201103000254"</f>
        <v>201103000254</v>
      </c>
      <c r="H4004">
        <v>979</v>
      </c>
      <c r="I4004">
        <v>0</v>
      </c>
      <c r="J4004">
        <v>0</v>
      </c>
      <c r="K4004">
        <v>0</v>
      </c>
      <c r="L4004">
        <v>0</v>
      </c>
      <c r="M4004">
        <v>0</v>
      </c>
      <c r="N4004">
        <v>0</v>
      </c>
      <c r="O4004">
        <v>0</v>
      </c>
      <c r="P4004">
        <v>0</v>
      </c>
      <c r="Q4004">
        <v>0</v>
      </c>
      <c r="R4004">
        <v>0</v>
      </c>
      <c r="S4004">
        <v>0</v>
      </c>
      <c r="T4004">
        <v>0</v>
      </c>
      <c r="V4004">
        <v>0</v>
      </c>
      <c r="W4004">
        <v>979</v>
      </c>
    </row>
    <row r="4005" spans="1:23" x14ac:dyDescent="0.25">
      <c r="H4005">
        <v>703</v>
      </c>
    </row>
    <row r="4006" spans="1:23" x14ac:dyDescent="0.25">
      <c r="A4006">
        <v>2000</v>
      </c>
      <c r="B4006">
        <v>3022</v>
      </c>
      <c r="C4006" t="s">
        <v>144</v>
      </c>
      <c r="D4006" t="s">
        <v>1678</v>
      </c>
      <c r="E4006" t="s">
        <v>91</v>
      </c>
      <c r="F4006" t="s">
        <v>5494</v>
      </c>
      <c r="G4006" t="str">
        <f>"201604006042"</f>
        <v>201604006042</v>
      </c>
      <c r="H4006">
        <v>979</v>
      </c>
      <c r="I4006">
        <v>0</v>
      </c>
      <c r="J4006">
        <v>0</v>
      </c>
      <c r="K4006">
        <v>0</v>
      </c>
      <c r="L4006">
        <v>0</v>
      </c>
      <c r="M4006">
        <v>0</v>
      </c>
      <c r="N4006">
        <v>0</v>
      </c>
      <c r="O4006">
        <v>0</v>
      </c>
      <c r="P4006">
        <v>0</v>
      </c>
      <c r="Q4006">
        <v>0</v>
      </c>
      <c r="R4006">
        <v>0</v>
      </c>
      <c r="S4006">
        <v>0</v>
      </c>
      <c r="T4006">
        <v>0</v>
      </c>
      <c r="V4006">
        <v>0</v>
      </c>
      <c r="W4006">
        <v>979</v>
      </c>
    </row>
    <row r="4007" spans="1:23" x14ac:dyDescent="0.25">
      <c r="H4007">
        <v>703</v>
      </c>
    </row>
    <row r="4008" spans="1:23" x14ac:dyDescent="0.25">
      <c r="A4008">
        <v>2001</v>
      </c>
      <c r="B4008">
        <v>1836</v>
      </c>
      <c r="C4008" t="s">
        <v>5495</v>
      </c>
      <c r="D4008" t="s">
        <v>258</v>
      </c>
      <c r="E4008" t="s">
        <v>76</v>
      </c>
      <c r="F4008" t="s">
        <v>5496</v>
      </c>
      <c r="G4008" t="str">
        <f>"00230518"</f>
        <v>00230518</v>
      </c>
      <c r="H4008" t="s">
        <v>2811</v>
      </c>
      <c r="I4008">
        <v>0</v>
      </c>
      <c r="J4008">
        <v>0</v>
      </c>
      <c r="K4008">
        <v>0</v>
      </c>
      <c r="L4008">
        <v>0</v>
      </c>
      <c r="M4008">
        <v>0</v>
      </c>
      <c r="N4008">
        <v>0</v>
      </c>
      <c r="O4008">
        <v>0</v>
      </c>
      <c r="P4008">
        <v>0</v>
      </c>
      <c r="Q4008">
        <v>0</v>
      </c>
      <c r="R4008">
        <v>29</v>
      </c>
      <c r="S4008">
        <v>203</v>
      </c>
      <c r="T4008">
        <v>0</v>
      </c>
      <c r="V4008">
        <v>3</v>
      </c>
      <c r="W4008" t="s">
        <v>5497</v>
      </c>
    </row>
    <row r="4009" spans="1:23" x14ac:dyDescent="0.25">
      <c r="H4009">
        <v>703</v>
      </c>
    </row>
    <row r="4010" spans="1:23" x14ac:dyDescent="0.25">
      <c r="A4010">
        <v>2002</v>
      </c>
      <c r="B4010">
        <v>2108</v>
      </c>
      <c r="C4010" t="s">
        <v>352</v>
      </c>
      <c r="D4010" t="s">
        <v>392</v>
      </c>
      <c r="E4010" t="s">
        <v>91</v>
      </c>
      <c r="F4010" t="s">
        <v>5498</v>
      </c>
      <c r="G4010" t="str">
        <f>"00224031"</f>
        <v>00224031</v>
      </c>
      <c r="H4010" t="s">
        <v>1049</v>
      </c>
      <c r="I4010">
        <v>0</v>
      </c>
      <c r="J4010">
        <v>70</v>
      </c>
      <c r="K4010">
        <v>0</v>
      </c>
      <c r="L4010">
        <v>0</v>
      </c>
      <c r="M4010">
        <v>0</v>
      </c>
      <c r="N4010">
        <v>0</v>
      </c>
      <c r="O4010">
        <v>0</v>
      </c>
      <c r="P4010">
        <v>0</v>
      </c>
      <c r="Q4010">
        <v>0</v>
      </c>
      <c r="R4010">
        <v>0</v>
      </c>
      <c r="S4010">
        <v>0</v>
      </c>
      <c r="T4010">
        <v>0</v>
      </c>
      <c r="V4010">
        <v>0</v>
      </c>
      <c r="W4010" t="s">
        <v>5499</v>
      </c>
    </row>
    <row r="4011" spans="1:23" x14ac:dyDescent="0.25">
      <c r="H4011">
        <v>703</v>
      </c>
    </row>
    <row r="4012" spans="1:23" x14ac:dyDescent="0.25">
      <c r="A4012">
        <v>2003</v>
      </c>
      <c r="B4012">
        <v>968</v>
      </c>
      <c r="C4012" t="s">
        <v>5500</v>
      </c>
      <c r="D4012" t="s">
        <v>248</v>
      </c>
      <c r="E4012" t="s">
        <v>15</v>
      </c>
      <c r="F4012" t="s">
        <v>5501</v>
      </c>
      <c r="G4012" t="str">
        <f>"00161333"</f>
        <v>00161333</v>
      </c>
      <c r="H4012" t="s">
        <v>389</v>
      </c>
      <c r="I4012">
        <v>0</v>
      </c>
      <c r="J4012">
        <v>0</v>
      </c>
      <c r="K4012">
        <v>0</v>
      </c>
      <c r="L4012">
        <v>0</v>
      </c>
      <c r="M4012">
        <v>0</v>
      </c>
      <c r="N4012">
        <v>0</v>
      </c>
      <c r="O4012">
        <v>0</v>
      </c>
      <c r="P4012">
        <v>0</v>
      </c>
      <c r="Q4012">
        <v>0</v>
      </c>
      <c r="R4012">
        <v>0</v>
      </c>
      <c r="S4012">
        <v>0</v>
      </c>
      <c r="T4012">
        <v>0</v>
      </c>
      <c r="V4012">
        <v>1</v>
      </c>
      <c r="W4012" t="s">
        <v>389</v>
      </c>
    </row>
    <row r="4013" spans="1:23" x14ac:dyDescent="0.25">
      <c r="H4013">
        <v>703</v>
      </c>
    </row>
    <row r="4014" spans="1:23" x14ac:dyDescent="0.25">
      <c r="A4014">
        <v>2004</v>
      </c>
      <c r="B4014">
        <v>2957</v>
      </c>
      <c r="C4014" t="s">
        <v>5502</v>
      </c>
      <c r="D4014" t="s">
        <v>798</v>
      </c>
      <c r="E4014" t="s">
        <v>24</v>
      </c>
      <c r="F4014" t="s">
        <v>5503</v>
      </c>
      <c r="G4014" t="str">
        <f>"00223379"</f>
        <v>00223379</v>
      </c>
      <c r="H4014">
        <v>946</v>
      </c>
      <c r="I4014">
        <v>0</v>
      </c>
      <c r="J4014">
        <v>30</v>
      </c>
      <c r="K4014">
        <v>0</v>
      </c>
      <c r="L4014">
        <v>0</v>
      </c>
      <c r="M4014">
        <v>0</v>
      </c>
      <c r="N4014">
        <v>0</v>
      </c>
      <c r="O4014">
        <v>0</v>
      </c>
      <c r="P4014">
        <v>0</v>
      </c>
      <c r="Q4014">
        <v>0</v>
      </c>
      <c r="R4014">
        <v>0</v>
      </c>
      <c r="S4014">
        <v>0</v>
      </c>
      <c r="T4014">
        <v>0</v>
      </c>
      <c r="V4014">
        <v>0</v>
      </c>
      <c r="W4014">
        <v>976</v>
      </c>
    </row>
    <row r="4015" spans="1:23" x14ac:dyDescent="0.25">
      <c r="H4015">
        <v>703</v>
      </c>
    </row>
    <row r="4016" spans="1:23" x14ac:dyDescent="0.25">
      <c r="A4016">
        <v>2005</v>
      </c>
      <c r="B4016">
        <v>1798</v>
      </c>
      <c r="C4016" t="s">
        <v>4814</v>
      </c>
      <c r="D4016" t="s">
        <v>140</v>
      </c>
      <c r="E4016" t="s">
        <v>76</v>
      </c>
      <c r="F4016" t="s">
        <v>5504</v>
      </c>
      <c r="G4016" t="str">
        <f>"201512000900"</f>
        <v>201512000900</v>
      </c>
      <c r="H4016">
        <v>946</v>
      </c>
      <c r="I4016">
        <v>0</v>
      </c>
      <c r="J4016">
        <v>30</v>
      </c>
      <c r="K4016">
        <v>0</v>
      </c>
      <c r="L4016">
        <v>0</v>
      </c>
      <c r="M4016">
        <v>0</v>
      </c>
      <c r="N4016">
        <v>0</v>
      </c>
      <c r="O4016">
        <v>0</v>
      </c>
      <c r="P4016">
        <v>0</v>
      </c>
      <c r="Q4016">
        <v>0</v>
      </c>
      <c r="R4016">
        <v>0</v>
      </c>
      <c r="S4016">
        <v>0</v>
      </c>
      <c r="T4016">
        <v>0</v>
      </c>
      <c r="V4016">
        <v>0</v>
      </c>
      <c r="W4016">
        <v>976</v>
      </c>
    </row>
    <row r="4017" spans="1:23" x14ac:dyDescent="0.25">
      <c r="H4017">
        <v>703</v>
      </c>
    </row>
    <row r="4018" spans="1:23" x14ac:dyDescent="0.25">
      <c r="A4018">
        <v>2006</v>
      </c>
      <c r="B4018">
        <v>1160</v>
      </c>
      <c r="C4018" t="s">
        <v>963</v>
      </c>
      <c r="D4018" t="s">
        <v>392</v>
      </c>
      <c r="E4018" t="s">
        <v>109</v>
      </c>
      <c r="F4018" t="s">
        <v>5505</v>
      </c>
      <c r="G4018" t="str">
        <f>"00183680"</f>
        <v>00183680</v>
      </c>
      <c r="H4018">
        <v>946</v>
      </c>
      <c r="I4018">
        <v>0</v>
      </c>
      <c r="J4018">
        <v>30</v>
      </c>
      <c r="K4018">
        <v>0</v>
      </c>
      <c r="L4018">
        <v>0</v>
      </c>
      <c r="M4018">
        <v>0</v>
      </c>
      <c r="N4018">
        <v>0</v>
      </c>
      <c r="O4018">
        <v>0</v>
      </c>
      <c r="P4018">
        <v>0</v>
      </c>
      <c r="Q4018">
        <v>0</v>
      </c>
      <c r="R4018">
        <v>0</v>
      </c>
      <c r="S4018">
        <v>0</v>
      </c>
      <c r="T4018">
        <v>0</v>
      </c>
      <c r="V4018">
        <v>0</v>
      </c>
      <c r="W4018">
        <v>976</v>
      </c>
    </row>
    <row r="4019" spans="1:23" x14ac:dyDescent="0.25">
      <c r="H4019" t="s">
        <v>26</v>
      </c>
    </row>
    <row r="4020" spans="1:23" x14ac:dyDescent="0.25">
      <c r="A4020">
        <v>2007</v>
      </c>
      <c r="B4020">
        <v>1718</v>
      </c>
      <c r="C4020" t="s">
        <v>5506</v>
      </c>
      <c r="D4020" t="s">
        <v>140</v>
      </c>
      <c r="E4020" t="s">
        <v>350</v>
      </c>
      <c r="F4020" t="s">
        <v>5507</v>
      </c>
      <c r="G4020" t="str">
        <f>"00145819"</f>
        <v>00145819</v>
      </c>
      <c r="H4020">
        <v>946</v>
      </c>
      <c r="I4020">
        <v>0</v>
      </c>
      <c r="J4020">
        <v>30</v>
      </c>
      <c r="K4020">
        <v>0</v>
      </c>
      <c r="L4020">
        <v>0</v>
      </c>
      <c r="M4020">
        <v>0</v>
      </c>
      <c r="N4020">
        <v>0</v>
      </c>
      <c r="O4020">
        <v>0</v>
      </c>
      <c r="P4020">
        <v>0</v>
      </c>
      <c r="Q4020">
        <v>0</v>
      </c>
      <c r="R4020">
        <v>0</v>
      </c>
      <c r="S4020">
        <v>0</v>
      </c>
      <c r="T4020">
        <v>0</v>
      </c>
      <c r="V4020">
        <v>0</v>
      </c>
      <c r="W4020">
        <v>976</v>
      </c>
    </row>
    <row r="4021" spans="1:23" x14ac:dyDescent="0.25">
      <c r="H4021" t="s">
        <v>70</v>
      </c>
    </row>
    <row r="4022" spans="1:23" x14ac:dyDescent="0.25">
      <c r="A4022">
        <v>2008</v>
      </c>
      <c r="B4022">
        <v>2826</v>
      </c>
      <c r="C4022" t="s">
        <v>5508</v>
      </c>
      <c r="D4022" t="s">
        <v>91</v>
      </c>
      <c r="E4022" t="s">
        <v>76</v>
      </c>
      <c r="F4022" t="s">
        <v>5509</v>
      </c>
      <c r="G4022" t="str">
        <f>"00217261"</f>
        <v>00217261</v>
      </c>
      <c r="H4022">
        <v>825</v>
      </c>
      <c r="I4022">
        <v>150</v>
      </c>
      <c r="J4022">
        <v>0</v>
      </c>
      <c r="K4022">
        <v>0</v>
      </c>
      <c r="L4022">
        <v>0</v>
      </c>
      <c r="M4022">
        <v>0</v>
      </c>
      <c r="N4022">
        <v>0</v>
      </c>
      <c r="O4022">
        <v>0</v>
      </c>
      <c r="P4022">
        <v>0</v>
      </c>
      <c r="Q4022">
        <v>0</v>
      </c>
      <c r="R4022">
        <v>0</v>
      </c>
      <c r="S4022">
        <v>0</v>
      </c>
      <c r="T4022">
        <v>0</v>
      </c>
      <c r="V4022">
        <v>0</v>
      </c>
      <c r="W4022">
        <v>975</v>
      </c>
    </row>
    <row r="4023" spans="1:23" x14ac:dyDescent="0.25">
      <c r="H4023">
        <v>703</v>
      </c>
    </row>
    <row r="4024" spans="1:23" x14ac:dyDescent="0.25">
      <c r="A4024">
        <v>2009</v>
      </c>
      <c r="B4024">
        <v>2288</v>
      </c>
      <c r="C4024" t="s">
        <v>5510</v>
      </c>
      <c r="D4024" t="s">
        <v>226</v>
      </c>
      <c r="E4024" t="s">
        <v>414</v>
      </c>
      <c r="F4024" t="s">
        <v>5511</v>
      </c>
      <c r="G4024" t="str">
        <f>"201406019280"</f>
        <v>201406019280</v>
      </c>
      <c r="H4024" t="s">
        <v>840</v>
      </c>
      <c r="I4024">
        <v>0</v>
      </c>
      <c r="J4024">
        <v>0</v>
      </c>
      <c r="K4024">
        <v>0</v>
      </c>
      <c r="L4024">
        <v>0</v>
      </c>
      <c r="M4024">
        <v>0</v>
      </c>
      <c r="N4024">
        <v>0</v>
      </c>
      <c r="O4024">
        <v>0</v>
      </c>
      <c r="P4024">
        <v>0</v>
      </c>
      <c r="Q4024">
        <v>0</v>
      </c>
      <c r="R4024">
        <v>8</v>
      </c>
      <c r="S4024">
        <v>56</v>
      </c>
      <c r="T4024">
        <v>0</v>
      </c>
      <c r="V4024">
        <v>0</v>
      </c>
      <c r="W4024" t="s">
        <v>5512</v>
      </c>
    </row>
    <row r="4025" spans="1:23" x14ac:dyDescent="0.25">
      <c r="H4025">
        <v>703</v>
      </c>
    </row>
    <row r="4026" spans="1:23" x14ac:dyDescent="0.25">
      <c r="A4026">
        <v>2010</v>
      </c>
      <c r="B4026">
        <v>1273</v>
      </c>
      <c r="C4026" t="s">
        <v>5513</v>
      </c>
      <c r="D4026" t="s">
        <v>5514</v>
      </c>
      <c r="E4026" t="s">
        <v>91</v>
      </c>
      <c r="F4026" t="s">
        <v>5515</v>
      </c>
      <c r="G4026" t="str">
        <f>"00216161"</f>
        <v>00216161</v>
      </c>
      <c r="H4026" t="s">
        <v>1014</v>
      </c>
      <c r="I4026">
        <v>0</v>
      </c>
      <c r="J4026">
        <v>70</v>
      </c>
      <c r="K4026">
        <v>30</v>
      </c>
      <c r="L4026">
        <v>0</v>
      </c>
      <c r="M4026">
        <v>0</v>
      </c>
      <c r="N4026">
        <v>0</v>
      </c>
      <c r="O4026">
        <v>0</v>
      </c>
      <c r="P4026">
        <v>0</v>
      </c>
      <c r="Q4026">
        <v>0</v>
      </c>
      <c r="R4026">
        <v>0</v>
      </c>
      <c r="S4026">
        <v>0</v>
      </c>
      <c r="T4026">
        <v>0</v>
      </c>
      <c r="V4026">
        <v>0</v>
      </c>
      <c r="W4026" t="s">
        <v>5512</v>
      </c>
    </row>
    <row r="4027" spans="1:23" x14ac:dyDescent="0.25">
      <c r="H4027" t="s">
        <v>70</v>
      </c>
    </row>
    <row r="4028" spans="1:23" x14ac:dyDescent="0.25">
      <c r="A4028">
        <v>2011</v>
      </c>
      <c r="B4028">
        <v>2873</v>
      </c>
      <c r="C4028" t="s">
        <v>4821</v>
      </c>
      <c r="D4028" t="s">
        <v>87</v>
      </c>
      <c r="E4028" t="s">
        <v>88</v>
      </c>
      <c r="F4028" t="s">
        <v>5516</v>
      </c>
      <c r="G4028" t="str">
        <f>"00224460"</f>
        <v>00224460</v>
      </c>
      <c r="H4028">
        <v>924</v>
      </c>
      <c r="I4028">
        <v>0</v>
      </c>
      <c r="J4028">
        <v>50</v>
      </c>
      <c r="K4028">
        <v>0</v>
      </c>
      <c r="L4028">
        <v>0</v>
      </c>
      <c r="M4028">
        <v>0</v>
      </c>
      <c r="N4028">
        <v>0</v>
      </c>
      <c r="O4028">
        <v>0</v>
      </c>
      <c r="P4028">
        <v>0</v>
      </c>
      <c r="Q4028">
        <v>0</v>
      </c>
      <c r="R4028">
        <v>0</v>
      </c>
      <c r="S4028">
        <v>0</v>
      </c>
      <c r="T4028">
        <v>0</v>
      </c>
      <c r="V4028">
        <v>0</v>
      </c>
      <c r="W4028">
        <v>974</v>
      </c>
    </row>
    <row r="4029" spans="1:23" x14ac:dyDescent="0.25">
      <c r="H4029">
        <v>703</v>
      </c>
    </row>
    <row r="4030" spans="1:23" x14ac:dyDescent="0.25">
      <c r="A4030">
        <v>2012</v>
      </c>
      <c r="B4030">
        <v>1148</v>
      </c>
      <c r="C4030" t="s">
        <v>5517</v>
      </c>
      <c r="D4030" t="s">
        <v>15</v>
      </c>
      <c r="E4030" t="s">
        <v>109</v>
      </c>
      <c r="F4030" t="s">
        <v>5518</v>
      </c>
      <c r="G4030" t="str">
        <f>"00229361"</f>
        <v>00229361</v>
      </c>
      <c r="H4030" t="s">
        <v>458</v>
      </c>
      <c r="I4030">
        <v>0</v>
      </c>
      <c r="J4030">
        <v>0</v>
      </c>
      <c r="K4030">
        <v>0</v>
      </c>
      <c r="L4030">
        <v>0</v>
      </c>
      <c r="M4030">
        <v>0</v>
      </c>
      <c r="N4030">
        <v>0</v>
      </c>
      <c r="O4030">
        <v>0</v>
      </c>
      <c r="P4030">
        <v>0</v>
      </c>
      <c r="Q4030">
        <v>0</v>
      </c>
      <c r="R4030">
        <v>0</v>
      </c>
      <c r="S4030">
        <v>0</v>
      </c>
      <c r="T4030">
        <v>0</v>
      </c>
      <c r="V4030">
        <v>0</v>
      </c>
      <c r="W4030" t="s">
        <v>458</v>
      </c>
    </row>
    <row r="4031" spans="1:23" x14ac:dyDescent="0.25">
      <c r="H4031">
        <v>703</v>
      </c>
    </row>
    <row r="4032" spans="1:23" x14ac:dyDescent="0.25">
      <c r="A4032">
        <v>2013</v>
      </c>
      <c r="B4032">
        <v>2152</v>
      </c>
      <c r="C4032" t="s">
        <v>5519</v>
      </c>
      <c r="D4032" t="s">
        <v>5520</v>
      </c>
      <c r="E4032" t="s">
        <v>105</v>
      </c>
      <c r="F4032" t="s">
        <v>5521</v>
      </c>
      <c r="G4032" t="str">
        <f>"201511035018"</f>
        <v>201511035018</v>
      </c>
      <c r="H4032">
        <v>825</v>
      </c>
      <c r="I4032">
        <v>0</v>
      </c>
      <c r="J4032">
        <v>50</v>
      </c>
      <c r="K4032">
        <v>0</v>
      </c>
      <c r="L4032">
        <v>0</v>
      </c>
      <c r="M4032">
        <v>0</v>
      </c>
      <c r="N4032">
        <v>0</v>
      </c>
      <c r="O4032">
        <v>0</v>
      </c>
      <c r="P4032">
        <v>0</v>
      </c>
      <c r="Q4032">
        <v>0</v>
      </c>
      <c r="R4032">
        <v>14</v>
      </c>
      <c r="S4032">
        <v>98</v>
      </c>
      <c r="T4032">
        <v>0</v>
      </c>
      <c r="V4032">
        <v>1</v>
      </c>
      <c r="W4032">
        <v>973</v>
      </c>
    </row>
    <row r="4033" spans="1:23" x14ac:dyDescent="0.25">
      <c r="H4033">
        <v>703</v>
      </c>
    </row>
    <row r="4034" spans="1:23" x14ac:dyDescent="0.25">
      <c r="A4034">
        <v>2014</v>
      </c>
      <c r="B4034">
        <v>1885</v>
      </c>
      <c r="C4034" t="s">
        <v>5522</v>
      </c>
      <c r="D4034" t="s">
        <v>273</v>
      </c>
      <c r="E4034" t="s">
        <v>607</v>
      </c>
      <c r="F4034" t="s">
        <v>5523</v>
      </c>
      <c r="G4034" t="str">
        <f>"00228794"</f>
        <v>00228794</v>
      </c>
      <c r="H4034" t="s">
        <v>1049</v>
      </c>
      <c r="I4034">
        <v>0</v>
      </c>
      <c r="J4034">
        <v>30</v>
      </c>
      <c r="K4034">
        <v>0</v>
      </c>
      <c r="L4034">
        <v>0</v>
      </c>
      <c r="M4034">
        <v>0</v>
      </c>
      <c r="N4034">
        <v>0</v>
      </c>
      <c r="O4034">
        <v>0</v>
      </c>
      <c r="P4034">
        <v>0</v>
      </c>
      <c r="Q4034">
        <v>0</v>
      </c>
      <c r="R4034">
        <v>5</v>
      </c>
      <c r="S4034">
        <v>35</v>
      </c>
      <c r="T4034">
        <v>0</v>
      </c>
      <c r="V4034">
        <v>0</v>
      </c>
      <c r="W4034" t="s">
        <v>5524</v>
      </c>
    </row>
    <row r="4035" spans="1:23" x14ac:dyDescent="0.25">
      <c r="H4035">
        <v>703</v>
      </c>
    </row>
    <row r="4036" spans="1:23" x14ac:dyDescent="0.25">
      <c r="A4036">
        <v>2015</v>
      </c>
      <c r="B4036">
        <v>538</v>
      </c>
      <c r="C4036" t="s">
        <v>5525</v>
      </c>
      <c r="D4036" t="s">
        <v>325</v>
      </c>
      <c r="E4036" t="s">
        <v>3844</v>
      </c>
      <c r="F4036" t="s">
        <v>5526</v>
      </c>
      <c r="G4036" t="str">
        <f>"201504000567"</f>
        <v>201504000567</v>
      </c>
      <c r="H4036">
        <v>715</v>
      </c>
      <c r="I4036">
        <v>150</v>
      </c>
      <c r="J4036">
        <v>30</v>
      </c>
      <c r="K4036">
        <v>0</v>
      </c>
      <c r="L4036">
        <v>0</v>
      </c>
      <c r="M4036">
        <v>0</v>
      </c>
      <c r="N4036">
        <v>0</v>
      </c>
      <c r="O4036">
        <v>0</v>
      </c>
      <c r="P4036">
        <v>0</v>
      </c>
      <c r="Q4036">
        <v>0</v>
      </c>
      <c r="R4036">
        <v>11</v>
      </c>
      <c r="S4036">
        <v>77</v>
      </c>
      <c r="T4036">
        <v>0</v>
      </c>
      <c r="V4036">
        <v>0</v>
      </c>
      <c r="W4036">
        <v>972</v>
      </c>
    </row>
    <row r="4037" spans="1:23" x14ac:dyDescent="0.25">
      <c r="H4037">
        <v>703</v>
      </c>
    </row>
    <row r="4038" spans="1:23" x14ac:dyDescent="0.25">
      <c r="A4038">
        <v>2016</v>
      </c>
      <c r="B4038">
        <v>1292</v>
      </c>
      <c r="C4038" t="s">
        <v>2675</v>
      </c>
      <c r="D4038" t="s">
        <v>46</v>
      </c>
      <c r="E4038" t="s">
        <v>607</v>
      </c>
      <c r="F4038" t="s">
        <v>5527</v>
      </c>
      <c r="G4038" t="str">
        <f>"00141227"</f>
        <v>00141227</v>
      </c>
      <c r="H4038" t="s">
        <v>5263</v>
      </c>
      <c r="I4038">
        <v>0</v>
      </c>
      <c r="J4038">
        <v>0</v>
      </c>
      <c r="K4038">
        <v>0</v>
      </c>
      <c r="L4038">
        <v>0</v>
      </c>
      <c r="M4038">
        <v>0</v>
      </c>
      <c r="N4038">
        <v>0</v>
      </c>
      <c r="O4038">
        <v>0</v>
      </c>
      <c r="P4038">
        <v>0</v>
      </c>
      <c r="Q4038">
        <v>0</v>
      </c>
      <c r="R4038">
        <v>50</v>
      </c>
      <c r="S4038">
        <v>350</v>
      </c>
      <c r="T4038">
        <v>0</v>
      </c>
      <c r="V4038">
        <v>0</v>
      </c>
      <c r="W4038" t="s">
        <v>5528</v>
      </c>
    </row>
    <row r="4039" spans="1:23" x14ac:dyDescent="0.25">
      <c r="H4039">
        <v>703</v>
      </c>
    </row>
    <row r="4040" spans="1:23" x14ac:dyDescent="0.25">
      <c r="A4040">
        <v>2017</v>
      </c>
      <c r="B4040">
        <v>1955</v>
      </c>
      <c r="C4040" t="s">
        <v>5529</v>
      </c>
      <c r="D4040" t="s">
        <v>15</v>
      </c>
      <c r="E4040" t="s">
        <v>1350</v>
      </c>
      <c r="F4040" t="s">
        <v>5530</v>
      </c>
      <c r="G4040" t="str">
        <f>"201402009171"</f>
        <v>201402009171</v>
      </c>
      <c r="H4040">
        <v>880</v>
      </c>
      <c r="I4040">
        <v>0</v>
      </c>
      <c r="J4040">
        <v>70</v>
      </c>
      <c r="K4040">
        <v>0</v>
      </c>
      <c r="L4040">
        <v>0</v>
      </c>
      <c r="M4040">
        <v>0</v>
      </c>
      <c r="N4040">
        <v>0</v>
      </c>
      <c r="O4040">
        <v>0</v>
      </c>
      <c r="P4040">
        <v>0</v>
      </c>
      <c r="Q4040">
        <v>0</v>
      </c>
      <c r="R4040">
        <v>3</v>
      </c>
      <c r="S4040">
        <v>21</v>
      </c>
      <c r="T4040">
        <v>0</v>
      </c>
      <c r="V4040">
        <v>0</v>
      </c>
      <c r="W4040">
        <v>971</v>
      </c>
    </row>
    <row r="4041" spans="1:23" x14ac:dyDescent="0.25">
      <c r="H4041">
        <v>703</v>
      </c>
    </row>
    <row r="4042" spans="1:23" x14ac:dyDescent="0.25">
      <c r="A4042">
        <v>2018</v>
      </c>
      <c r="B4042">
        <v>1521</v>
      </c>
      <c r="C4042" t="s">
        <v>4396</v>
      </c>
      <c r="D4042" t="s">
        <v>185</v>
      </c>
      <c r="E4042" t="s">
        <v>350</v>
      </c>
      <c r="F4042" t="s">
        <v>5531</v>
      </c>
      <c r="G4042" t="str">
        <f>"00195809"</f>
        <v>00195809</v>
      </c>
      <c r="H4042">
        <v>715</v>
      </c>
      <c r="I4042">
        <v>150</v>
      </c>
      <c r="J4042">
        <v>0</v>
      </c>
      <c r="K4042">
        <v>0</v>
      </c>
      <c r="L4042">
        <v>50</v>
      </c>
      <c r="M4042">
        <v>0</v>
      </c>
      <c r="N4042">
        <v>0</v>
      </c>
      <c r="O4042">
        <v>0</v>
      </c>
      <c r="P4042">
        <v>0</v>
      </c>
      <c r="Q4042">
        <v>0</v>
      </c>
      <c r="R4042">
        <v>8</v>
      </c>
      <c r="S4042">
        <v>56</v>
      </c>
      <c r="T4042">
        <v>0</v>
      </c>
      <c r="V4042">
        <v>0</v>
      </c>
      <c r="W4042">
        <v>971</v>
      </c>
    </row>
    <row r="4043" spans="1:23" x14ac:dyDescent="0.25">
      <c r="H4043">
        <v>703</v>
      </c>
    </row>
    <row r="4044" spans="1:23" x14ac:dyDescent="0.25">
      <c r="A4044">
        <v>2019</v>
      </c>
      <c r="B4044">
        <v>126</v>
      </c>
      <c r="C4044" t="s">
        <v>5532</v>
      </c>
      <c r="D4044" t="s">
        <v>722</v>
      </c>
      <c r="E4044" t="s">
        <v>109</v>
      </c>
      <c r="F4044" t="s">
        <v>5533</v>
      </c>
      <c r="G4044" t="str">
        <f>"00122856"</f>
        <v>00122856</v>
      </c>
      <c r="H4044" t="s">
        <v>531</v>
      </c>
      <c r="I4044">
        <v>0</v>
      </c>
      <c r="J4044">
        <v>30</v>
      </c>
      <c r="K4044">
        <v>0</v>
      </c>
      <c r="L4044">
        <v>0</v>
      </c>
      <c r="M4044">
        <v>0</v>
      </c>
      <c r="N4044">
        <v>0</v>
      </c>
      <c r="O4044">
        <v>0</v>
      </c>
      <c r="P4044">
        <v>0</v>
      </c>
      <c r="Q4044">
        <v>0</v>
      </c>
      <c r="R4044">
        <v>0</v>
      </c>
      <c r="S4044">
        <v>0</v>
      </c>
      <c r="T4044">
        <v>0</v>
      </c>
      <c r="V4044">
        <v>0</v>
      </c>
      <c r="W4044" t="s">
        <v>5534</v>
      </c>
    </row>
    <row r="4045" spans="1:23" x14ac:dyDescent="0.25">
      <c r="H4045">
        <v>703</v>
      </c>
    </row>
    <row r="4046" spans="1:23" x14ac:dyDescent="0.25">
      <c r="A4046">
        <v>2020</v>
      </c>
      <c r="B4046">
        <v>279</v>
      </c>
      <c r="C4046" t="s">
        <v>5535</v>
      </c>
      <c r="D4046" t="s">
        <v>20</v>
      </c>
      <c r="E4046" t="s">
        <v>76</v>
      </c>
      <c r="F4046" t="s">
        <v>5536</v>
      </c>
      <c r="G4046" t="str">
        <f>"00226643"</f>
        <v>00226643</v>
      </c>
      <c r="H4046" t="s">
        <v>531</v>
      </c>
      <c r="I4046">
        <v>0</v>
      </c>
      <c r="J4046">
        <v>30</v>
      </c>
      <c r="K4046">
        <v>0</v>
      </c>
      <c r="L4046">
        <v>0</v>
      </c>
      <c r="M4046">
        <v>0</v>
      </c>
      <c r="N4046">
        <v>0</v>
      </c>
      <c r="O4046">
        <v>0</v>
      </c>
      <c r="P4046">
        <v>0</v>
      </c>
      <c r="Q4046">
        <v>0</v>
      </c>
      <c r="R4046">
        <v>0</v>
      </c>
      <c r="S4046">
        <v>0</v>
      </c>
      <c r="T4046">
        <v>0</v>
      </c>
      <c r="V4046">
        <v>0</v>
      </c>
      <c r="W4046" t="s">
        <v>5534</v>
      </c>
    </row>
    <row r="4047" spans="1:23" x14ac:dyDescent="0.25">
      <c r="H4047">
        <v>703</v>
      </c>
    </row>
    <row r="4048" spans="1:23" x14ac:dyDescent="0.25">
      <c r="A4048">
        <v>2021</v>
      </c>
      <c r="B4048">
        <v>2584</v>
      </c>
      <c r="C4048" t="s">
        <v>5537</v>
      </c>
      <c r="D4048" t="s">
        <v>1285</v>
      </c>
      <c r="E4048" t="s">
        <v>91</v>
      </c>
      <c r="F4048" t="s">
        <v>5538</v>
      </c>
      <c r="G4048" t="str">
        <f>"00137245"</f>
        <v>00137245</v>
      </c>
      <c r="H4048">
        <v>770</v>
      </c>
      <c r="I4048">
        <v>150</v>
      </c>
      <c r="J4048">
        <v>50</v>
      </c>
      <c r="K4048">
        <v>0</v>
      </c>
      <c r="L4048">
        <v>0</v>
      </c>
      <c r="M4048">
        <v>0</v>
      </c>
      <c r="N4048">
        <v>0</v>
      </c>
      <c r="O4048">
        <v>0</v>
      </c>
      <c r="P4048">
        <v>0</v>
      </c>
      <c r="Q4048">
        <v>0</v>
      </c>
      <c r="R4048">
        <v>0</v>
      </c>
      <c r="S4048">
        <v>0</v>
      </c>
      <c r="T4048">
        <v>0</v>
      </c>
      <c r="V4048">
        <v>0</v>
      </c>
      <c r="W4048">
        <v>970</v>
      </c>
    </row>
    <row r="4049" spans="1:23" x14ac:dyDescent="0.25">
      <c r="H4049" t="s">
        <v>26</v>
      </c>
    </row>
    <row r="4050" spans="1:23" x14ac:dyDescent="0.25">
      <c r="A4050">
        <v>2022</v>
      </c>
      <c r="B4050">
        <v>233</v>
      </c>
      <c r="C4050" t="s">
        <v>5539</v>
      </c>
      <c r="D4050" t="s">
        <v>273</v>
      </c>
      <c r="E4050" t="s">
        <v>76</v>
      </c>
      <c r="F4050" t="s">
        <v>5540</v>
      </c>
      <c r="G4050" t="str">
        <f>"201406014910"</f>
        <v>201406014910</v>
      </c>
      <c r="H4050">
        <v>550</v>
      </c>
      <c r="I4050">
        <v>0</v>
      </c>
      <c r="J4050">
        <v>70</v>
      </c>
      <c r="K4050">
        <v>0</v>
      </c>
      <c r="L4050">
        <v>0</v>
      </c>
      <c r="M4050">
        <v>0</v>
      </c>
      <c r="N4050">
        <v>0</v>
      </c>
      <c r="O4050">
        <v>0</v>
      </c>
      <c r="P4050">
        <v>0</v>
      </c>
      <c r="Q4050">
        <v>0</v>
      </c>
      <c r="R4050">
        <v>50</v>
      </c>
      <c r="S4050">
        <v>350</v>
      </c>
      <c r="T4050">
        <v>0</v>
      </c>
      <c r="V4050">
        <v>0</v>
      </c>
      <c r="W4050">
        <v>970</v>
      </c>
    </row>
    <row r="4051" spans="1:23" x14ac:dyDescent="0.25">
      <c r="H4051">
        <v>703</v>
      </c>
    </row>
    <row r="4052" spans="1:23" x14ac:dyDescent="0.25">
      <c r="A4052">
        <v>2023</v>
      </c>
      <c r="B4052">
        <v>1774</v>
      </c>
      <c r="C4052" t="s">
        <v>5541</v>
      </c>
      <c r="D4052" t="s">
        <v>28</v>
      </c>
      <c r="E4052" t="s">
        <v>109</v>
      </c>
      <c r="F4052" t="s">
        <v>5542</v>
      </c>
      <c r="G4052" t="str">
        <f>"00146689"</f>
        <v>00146689</v>
      </c>
      <c r="H4052" t="s">
        <v>1212</v>
      </c>
      <c r="I4052">
        <v>150</v>
      </c>
      <c r="J4052">
        <v>0</v>
      </c>
      <c r="K4052">
        <v>0</v>
      </c>
      <c r="L4052">
        <v>0</v>
      </c>
      <c r="M4052">
        <v>0</v>
      </c>
      <c r="N4052">
        <v>0</v>
      </c>
      <c r="O4052">
        <v>0</v>
      </c>
      <c r="P4052">
        <v>0</v>
      </c>
      <c r="Q4052">
        <v>0</v>
      </c>
      <c r="R4052">
        <v>0</v>
      </c>
      <c r="S4052">
        <v>0</v>
      </c>
      <c r="T4052">
        <v>0</v>
      </c>
      <c r="V4052">
        <v>0</v>
      </c>
      <c r="W4052" t="s">
        <v>5543</v>
      </c>
    </row>
    <row r="4053" spans="1:23" x14ac:dyDescent="0.25">
      <c r="H4053">
        <v>703</v>
      </c>
    </row>
    <row r="4054" spans="1:23" x14ac:dyDescent="0.25">
      <c r="A4054">
        <v>2024</v>
      </c>
      <c r="B4054">
        <v>1956</v>
      </c>
      <c r="C4054" t="s">
        <v>3352</v>
      </c>
      <c r="D4054" t="s">
        <v>46</v>
      </c>
      <c r="E4054" t="s">
        <v>29</v>
      </c>
      <c r="F4054" t="s">
        <v>5544</v>
      </c>
      <c r="G4054" t="str">
        <f>"00120804"</f>
        <v>00120804</v>
      </c>
      <c r="H4054" t="s">
        <v>836</v>
      </c>
      <c r="I4054">
        <v>0</v>
      </c>
      <c r="J4054">
        <v>0</v>
      </c>
      <c r="K4054">
        <v>0</v>
      </c>
      <c r="L4054">
        <v>0</v>
      </c>
      <c r="M4054">
        <v>0</v>
      </c>
      <c r="N4054">
        <v>0</v>
      </c>
      <c r="O4054">
        <v>0</v>
      </c>
      <c r="P4054">
        <v>0</v>
      </c>
      <c r="Q4054">
        <v>0</v>
      </c>
      <c r="R4054">
        <v>0</v>
      </c>
      <c r="S4054">
        <v>0</v>
      </c>
      <c r="T4054">
        <v>0</v>
      </c>
      <c r="V4054">
        <v>0</v>
      </c>
      <c r="W4054" t="s">
        <v>836</v>
      </c>
    </row>
    <row r="4055" spans="1:23" x14ac:dyDescent="0.25">
      <c r="H4055">
        <v>703</v>
      </c>
    </row>
    <row r="4056" spans="1:23" x14ac:dyDescent="0.25">
      <c r="A4056">
        <v>2025</v>
      </c>
      <c r="B4056">
        <v>3110</v>
      </c>
      <c r="C4056" t="s">
        <v>5025</v>
      </c>
      <c r="D4056" t="s">
        <v>392</v>
      </c>
      <c r="E4056" t="s">
        <v>91</v>
      </c>
      <c r="F4056" t="s">
        <v>5545</v>
      </c>
      <c r="G4056" t="str">
        <f>"200802009922"</f>
        <v>200802009922</v>
      </c>
      <c r="H4056">
        <v>869</v>
      </c>
      <c r="I4056">
        <v>0</v>
      </c>
      <c r="J4056">
        <v>70</v>
      </c>
      <c r="K4056">
        <v>0</v>
      </c>
      <c r="L4056">
        <v>0</v>
      </c>
      <c r="M4056">
        <v>30</v>
      </c>
      <c r="N4056">
        <v>0</v>
      </c>
      <c r="O4056">
        <v>0</v>
      </c>
      <c r="P4056">
        <v>0</v>
      </c>
      <c r="Q4056">
        <v>0</v>
      </c>
      <c r="R4056">
        <v>0</v>
      </c>
      <c r="S4056">
        <v>0</v>
      </c>
      <c r="T4056">
        <v>0</v>
      </c>
      <c r="V4056">
        <v>0</v>
      </c>
      <c r="W4056">
        <v>969</v>
      </c>
    </row>
    <row r="4057" spans="1:23" x14ac:dyDescent="0.25">
      <c r="H4057" t="s">
        <v>3176</v>
      </c>
    </row>
    <row r="4058" spans="1:23" x14ac:dyDescent="0.25">
      <c r="A4058">
        <v>2026</v>
      </c>
      <c r="B4058">
        <v>874</v>
      </c>
      <c r="C4058" t="s">
        <v>5546</v>
      </c>
      <c r="D4058" t="s">
        <v>67</v>
      </c>
      <c r="E4058" t="s">
        <v>53</v>
      </c>
      <c r="F4058" t="s">
        <v>5547</v>
      </c>
      <c r="G4058" t="str">
        <f>"201412002660"</f>
        <v>201412002660</v>
      </c>
      <c r="H4058">
        <v>869</v>
      </c>
      <c r="I4058">
        <v>0</v>
      </c>
      <c r="J4058">
        <v>70</v>
      </c>
      <c r="K4058">
        <v>0</v>
      </c>
      <c r="L4058">
        <v>0</v>
      </c>
      <c r="M4058">
        <v>0</v>
      </c>
      <c r="N4058">
        <v>30</v>
      </c>
      <c r="O4058">
        <v>0</v>
      </c>
      <c r="P4058">
        <v>0</v>
      </c>
      <c r="Q4058">
        <v>0</v>
      </c>
      <c r="R4058">
        <v>0</v>
      </c>
      <c r="S4058">
        <v>0</v>
      </c>
      <c r="T4058">
        <v>0</v>
      </c>
      <c r="V4058">
        <v>0</v>
      </c>
      <c r="W4058">
        <v>969</v>
      </c>
    </row>
    <row r="4059" spans="1:23" x14ac:dyDescent="0.25">
      <c r="H4059" t="s">
        <v>70</v>
      </c>
    </row>
    <row r="4060" spans="1:23" x14ac:dyDescent="0.25">
      <c r="A4060">
        <v>2027</v>
      </c>
      <c r="B4060">
        <v>289</v>
      </c>
      <c r="C4060" t="s">
        <v>5548</v>
      </c>
      <c r="D4060" t="s">
        <v>5549</v>
      </c>
      <c r="E4060" t="s">
        <v>4307</v>
      </c>
      <c r="F4060" t="s">
        <v>5550</v>
      </c>
      <c r="G4060" t="str">
        <f>"00224241"</f>
        <v>00224241</v>
      </c>
      <c r="H4060">
        <v>968</v>
      </c>
      <c r="I4060">
        <v>0</v>
      </c>
      <c r="J4060">
        <v>0</v>
      </c>
      <c r="K4060">
        <v>0</v>
      </c>
      <c r="L4060">
        <v>0</v>
      </c>
      <c r="M4060">
        <v>0</v>
      </c>
      <c r="N4060">
        <v>0</v>
      </c>
      <c r="O4060">
        <v>0</v>
      </c>
      <c r="P4060">
        <v>0</v>
      </c>
      <c r="Q4060">
        <v>0</v>
      </c>
      <c r="R4060">
        <v>0</v>
      </c>
      <c r="S4060">
        <v>0</v>
      </c>
      <c r="T4060">
        <v>0</v>
      </c>
      <c r="V4060">
        <v>0</v>
      </c>
      <c r="W4060">
        <v>968</v>
      </c>
    </row>
    <row r="4061" spans="1:23" x14ac:dyDescent="0.25">
      <c r="H4061" t="s">
        <v>26</v>
      </c>
    </row>
    <row r="4062" spans="1:23" x14ac:dyDescent="0.25">
      <c r="A4062">
        <v>2028</v>
      </c>
      <c r="B4062">
        <v>1119</v>
      </c>
      <c r="C4062" t="s">
        <v>5551</v>
      </c>
      <c r="D4062" t="s">
        <v>912</v>
      </c>
      <c r="E4062" t="s">
        <v>91</v>
      </c>
      <c r="F4062" t="s">
        <v>5552</v>
      </c>
      <c r="G4062" t="str">
        <f>"00225306"</f>
        <v>00225306</v>
      </c>
      <c r="H4062" t="s">
        <v>1049</v>
      </c>
      <c r="I4062">
        <v>0</v>
      </c>
      <c r="J4062">
        <v>30</v>
      </c>
      <c r="K4062">
        <v>0</v>
      </c>
      <c r="L4062">
        <v>0</v>
      </c>
      <c r="M4062">
        <v>30</v>
      </c>
      <c r="N4062">
        <v>0</v>
      </c>
      <c r="O4062">
        <v>0</v>
      </c>
      <c r="P4062">
        <v>0</v>
      </c>
      <c r="Q4062">
        <v>0</v>
      </c>
      <c r="R4062">
        <v>0</v>
      </c>
      <c r="S4062">
        <v>0</v>
      </c>
      <c r="T4062">
        <v>0</v>
      </c>
      <c r="V4062">
        <v>0</v>
      </c>
      <c r="W4062" t="s">
        <v>5553</v>
      </c>
    </row>
    <row r="4063" spans="1:23" x14ac:dyDescent="0.25">
      <c r="H4063" t="s">
        <v>70</v>
      </c>
    </row>
    <row r="4064" spans="1:23" x14ac:dyDescent="0.25">
      <c r="A4064">
        <v>2029</v>
      </c>
      <c r="B4064">
        <v>813</v>
      </c>
      <c r="C4064" t="s">
        <v>288</v>
      </c>
      <c r="D4064" t="s">
        <v>302</v>
      </c>
      <c r="E4064" t="s">
        <v>99</v>
      </c>
      <c r="F4064" t="s">
        <v>5554</v>
      </c>
      <c r="G4064" t="str">
        <f>"00026061"</f>
        <v>00026061</v>
      </c>
      <c r="H4064" t="s">
        <v>2811</v>
      </c>
      <c r="I4064">
        <v>150</v>
      </c>
      <c r="J4064">
        <v>0</v>
      </c>
      <c r="K4064">
        <v>0</v>
      </c>
      <c r="L4064">
        <v>0</v>
      </c>
      <c r="M4064">
        <v>0</v>
      </c>
      <c r="N4064">
        <v>0</v>
      </c>
      <c r="O4064">
        <v>0</v>
      </c>
      <c r="P4064">
        <v>0</v>
      </c>
      <c r="Q4064">
        <v>0</v>
      </c>
      <c r="R4064">
        <v>6</v>
      </c>
      <c r="S4064">
        <v>42</v>
      </c>
      <c r="T4064">
        <v>0</v>
      </c>
      <c r="V4064">
        <v>0</v>
      </c>
      <c r="W4064" t="s">
        <v>5553</v>
      </c>
    </row>
    <row r="4065" spans="1:23" x14ac:dyDescent="0.25">
      <c r="H4065" t="s">
        <v>2316</v>
      </c>
    </row>
    <row r="4066" spans="1:23" x14ac:dyDescent="0.25">
      <c r="A4066">
        <v>2030</v>
      </c>
      <c r="B4066">
        <v>904</v>
      </c>
      <c r="C4066" t="s">
        <v>1727</v>
      </c>
      <c r="D4066" t="s">
        <v>873</v>
      </c>
      <c r="E4066" t="s">
        <v>91</v>
      </c>
      <c r="F4066" t="s">
        <v>5555</v>
      </c>
      <c r="G4066" t="str">
        <f>"201406015512"</f>
        <v>201406015512</v>
      </c>
      <c r="H4066">
        <v>825</v>
      </c>
      <c r="I4066">
        <v>0</v>
      </c>
      <c r="J4066">
        <v>30</v>
      </c>
      <c r="K4066">
        <v>0</v>
      </c>
      <c r="L4066">
        <v>0</v>
      </c>
      <c r="M4066">
        <v>0</v>
      </c>
      <c r="N4066">
        <v>0</v>
      </c>
      <c r="O4066">
        <v>0</v>
      </c>
      <c r="P4066">
        <v>0</v>
      </c>
      <c r="Q4066">
        <v>0</v>
      </c>
      <c r="R4066">
        <v>16</v>
      </c>
      <c r="S4066">
        <v>112</v>
      </c>
      <c r="T4066">
        <v>0</v>
      </c>
      <c r="V4066">
        <v>0</v>
      </c>
      <c r="W4066">
        <v>967</v>
      </c>
    </row>
    <row r="4067" spans="1:23" x14ac:dyDescent="0.25">
      <c r="H4067">
        <v>703</v>
      </c>
    </row>
    <row r="4068" spans="1:23" x14ac:dyDescent="0.25">
      <c r="A4068">
        <v>2031</v>
      </c>
      <c r="B4068">
        <v>830</v>
      </c>
      <c r="C4068" t="s">
        <v>5556</v>
      </c>
      <c r="D4068" t="s">
        <v>248</v>
      </c>
      <c r="E4068" t="s">
        <v>91</v>
      </c>
      <c r="F4068" t="s">
        <v>5557</v>
      </c>
      <c r="G4068" t="str">
        <f>"201410003716"</f>
        <v>201410003716</v>
      </c>
      <c r="H4068" t="s">
        <v>1001</v>
      </c>
      <c r="I4068">
        <v>0</v>
      </c>
      <c r="J4068">
        <v>70</v>
      </c>
      <c r="K4068">
        <v>0</v>
      </c>
      <c r="L4068">
        <v>0</v>
      </c>
      <c r="M4068">
        <v>0</v>
      </c>
      <c r="N4068">
        <v>0</v>
      </c>
      <c r="O4068">
        <v>0</v>
      </c>
      <c r="P4068">
        <v>0</v>
      </c>
      <c r="Q4068">
        <v>0</v>
      </c>
      <c r="R4068">
        <v>0</v>
      </c>
      <c r="S4068">
        <v>0</v>
      </c>
      <c r="T4068">
        <v>0</v>
      </c>
      <c r="V4068">
        <v>0</v>
      </c>
      <c r="W4068" t="s">
        <v>5558</v>
      </c>
    </row>
    <row r="4069" spans="1:23" x14ac:dyDescent="0.25">
      <c r="H4069">
        <v>703</v>
      </c>
    </row>
    <row r="4070" spans="1:23" x14ac:dyDescent="0.25">
      <c r="A4070">
        <v>2032</v>
      </c>
      <c r="B4070">
        <v>45</v>
      </c>
      <c r="C4070" t="s">
        <v>2453</v>
      </c>
      <c r="D4070" t="s">
        <v>1472</v>
      </c>
      <c r="E4070" t="s">
        <v>91</v>
      </c>
      <c r="F4070" t="s">
        <v>5559</v>
      </c>
      <c r="G4070" t="str">
        <f>"00213034"</f>
        <v>00213034</v>
      </c>
      <c r="H4070" t="s">
        <v>1001</v>
      </c>
      <c r="I4070">
        <v>0</v>
      </c>
      <c r="J4070">
        <v>70</v>
      </c>
      <c r="K4070">
        <v>0</v>
      </c>
      <c r="L4070">
        <v>0</v>
      </c>
      <c r="M4070">
        <v>0</v>
      </c>
      <c r="N4070">
        <v>0</v>
      </c>
      <c r="O4070">
        <v>0</v>
      </c>
      <c r="P4070">
        <v>0</v>
      </c>
      <c r="Q4070">
        <v>0</v>
      </c>
      <c r="R4070">
        <v>0</v>
      </c>
      <c r="S4070">
        <v>0</v>
      </c>
      <c r="T4070">
        <v>0</v>
      </c>
      <c r="V4070">
        <v>0</v>
      </c>
      <c r="W4070" t="s">
        <v>5558</v>
      </c>
    </row>
    <row r="4071" spans="1:23" x14ac:dyDescent="0.25">
      <c r="H4071">
        <v>703</v>
      </c>
    </row>
    <row r="4072" spans="1:23" x14ac:dyDescent="0.25">
      <c r="A4072">
        <v>2033</v>
      </c>
      <c r="B4072">
        <v>376</v>
      </c>
      <c r="C4072" t="s">
        <v>798</v>
      </c>
      <c r="D4072" t="s">
        <v>258</v>
      </c>
      <c r="E4072" t="s">
        <v>41</v>
      </c>
      <c r="F4072" t="s">
        <v>5560</v>
      </c>
      <c r="G4072" t="str">
        <f>"00137128"</f>
        <v>00137128</v>
      </c>
      <c r="H4072" t="s">
        <v>1001</v>
      </c>
      <c r="I4072">
        <v>0</v>
      </c>
      <c r="J4072">
        <v>70</v>
      </c>
      <c r="K4072">
        <v>0</v>
      </c>
      <c r="L4072">
        <v>0</v>
      </c>
      <c r="M4072">
        <v>0</v>
      </c>
      <c r="N4072">
        <v>0</v>
      </c>
      <c r="O4072">
        <v>0</v>
      </c>
      <c r="P4072">
        <v>0</v>
      </c>
      <c r="Q4072">
        <v>0</v>
      </c>
      <c r="R4072">
        <v>0</v>
      </c>
      <c r="S4072">
        <v>0</v>
      </c>
      <c r="T4072">
        <v>0</v>
      </c>
      <c r="V4072">
        <v>0</v>
      </c>
      <c r="W4072" t="s">
        <v>5558</v>
      </c>
    </row>
    <row r="4073" spans="1:23" x14ac:dyDescent="0.25">
      <c r="H4073">
        <v>703</v>
      </c>
    </row>
    <row r="4074" spans="1:23" x14ac:dyDescent="0.25">
      <c r="A4074">
        <v>2034</v>
      </c>
      <c r="B4074">
        <v>2234</v>
      </c>
      <c r="C4074" t="s">
        <v>162</v>
      </c>
      <c r="D4074" t="s">
        <v>109</v>
      </c>
      <c r="E4074" t="s">
        <v>15</v>
      </c>
      <c r="F4074" t="s">
        <v>5561</v>
      </c>
      <c r="G4074" t="str">
        <f>"00139309"</f>
        <v>00139309</v>
      </c>
      <c r="H4074" t="s">
        <v>1228</v>
      </c>
      <c r="I4074">
        <v>150</v>
      </c>
      <c r="J4074">
        <v>30</v>
      </c>
      <c r="K4074">
        <v>0</v>
      </c>
      <c r="L4074">
        <v>0</v>
      </c>
      <c r="M4074">
        <v>0</v>
      </c>
      <c r="N4074">
        <v>0</v>
      </c>
      <c r="O4074">
        <v>0</v>
      </c>
      <c r="P4074">
        <v>0</v>
      </c>
      <c r="Q4074">
        <v>0</v>
      </c>
      <c r="R4074">
        <v>0</v>
      </c>
      <c r="S4074">
        <v>0</v>
      </c>
      <c r="T4074">
        <v>0</v>
      </c>
      <c r="V4074">
        <v>0</v>
      </c>
      <c r="W4074" t="s">
        <v>5558</v>
      </c>
    </row>
    <row r="4075" spans="1:23" x14ac:dyDescent="0.25">
      <c r="H4075" t="s">
        <v>5562</v>
      </c>
    </row>
    <row r="4076" spans="1:23" x14ac:dyDescent="0.25">
      <c r="A4076">
        <v>2035</v>
      </c>
      <c r="B4076">
        <v>828</v>
      </c>
      <c r="C4076" t="s">
        <v>5563</v>
      </c>
      <c r="D4076" t="s">
        <v>194</v>
      </c>
      <c r="E4076" t="s">
        <v>41</v>
      </c>
      <c r="F4076" t="s">
        <v>5564</v>
      </c>
      <c r="G4076" t="str">
        <f>"00149391"</f>
        <v>00149391</v>
      </c>
      <c r="H4076" t="s">
        <v>5082</v>
      </c>
      <c r="I4076">
        <v>0</v>
      </c>
      <c r="J4076">
        <v>0</v>
      </c>
      <c r="K4076">
        <v>0</v>
      </c>
      <c r="L4076">
        <v>0</v>
      </c>
      <c r="M4076">
        <v>0</v>
      </c>
      <c r="N4076">
        <v>0</v>
      </c>
      <c r="O4076">
        <v>0</v>
      </c>
      <c r="P4076">
        <v>0</v>
      </c>
      <c r="Q4076">
        <v>0</v>
      </c>
      <c r="R4076">
        <v>43</v>
      </c>
      <c r="S4076">
        <v>301</v>
      </c>
      <c r="T4076">
        <v>0</v>
      </c>
      <c r="V4076">
        <v>2</v>
      </c>
      <c r="W4076" t="s">
        <v>5558</v>
      </c>
    </row>
    <row r="4077" spans="1:23" x14ac:dyDescent="0.25">
      <c r="H4077">
        <v>703</v>
      </c>
    </row>
    <row r="4078" spans="1:23" x14ac:dyDescent="0.25">
      <c r="A4078">
        <v>2036</v>
      </c>
      <c r="B4078">
        <v>1813</v>
      </c>
      <c r="C4078" t="s">
        <v>5565</v>
      </c>
      <c r="D4078" t="s">
        <v>892</v>
      </c>
      <c r="E4078" t="s">
        <v>91</v>
      </c>
      <c r="F4078" t="s">
        <v>5566</v>
      </c>
      <c r="G4078" t="str">
        <f>"00227619"</f>
        <v>00227619</v>
      </c>
      <c r="H4078" t="s">
        <v>2856</v>
      </c>
      <c r="I4078">
        <v>150</v>
      </c>
      <c r="J4078">
        <v>0</v>
      </c>
      <c r="K4078">
        <v>0</v>
      </c>
      <c r="L4078">
        <v>0</v>
      </c>
      <c r="M4078">
        <v>0</v>
      </c>
      <c r="N4078">
        <v>0</v>
      </c>
      <c r="O4078">
        <v>0</v>
      </c>
      <c r="P4078">
        <v>0</v>
      </c>
      <c r="Q4078">
        <v>0</v>
      </c>
      <c r="R4078">
        <v>0</v>
      </c>
      <c r="S4078">
        <v>0</v>
      </c>
      <c r="T4078">
        <v>0</v>
      </c>
      <c r="V4078">
        <v>1</v>
      </c>
      <c r="W4078" t="s">
        <v>5567</v>
      </c>
    </row>
    <row r="4079" spans="1:23" x14ac:dyDescent="0.25">
      <c r="H4079" t="s">
        <v>26</v>
      </c>
    </row>
    <row r="4080" spans="1:23" x14ac:dyDescent="0.25">
      <c r="A4080">
        <v>2037</v>
      </c>
      <c r="B4080">
        <v>396</v>
      </c>
      <c r="C4080" t="s">
        <v>5568</v>
      </c>
      <c r="D4080" t="s">
        <v>32</v>
      </c>
      <c r="E4080" t="s">
        <v>21</v>
      </c>
      <c r="F4080" t="s">
        <v>5569</v>
      </c>
      <c r="G4080" t="str">
        <f>"00228776"</f>
        <v>00228776</v>
      </c>
      <c r="H4080">
        <v>935</v>
      </c>
      <c r="I4080">
        <v>0</v>
      </c>
      <c r="J4080">
        <v>30</v>
      </c>
      <c r="K4080">
        <v>0</v>
      </c>
      <c r="L4080">
        <v>0</v>
      </c>
      <c r="M4080">
        <v>0</v>
      </c>
      <c r="N4080">
        <v>0</v>
      </c>
      <c r="O4080">
        <v>0</v>
      </c>
      <c r="P4080">
        <v>0</v>
      </c>
      <c r="Q4080">
        <v>0</v>
      </c>
      <c r="R4080">
        <v>0</v>
      </c>
      <c r="S4080">
        <v>0</v>
      </c>
      <c r="T4080">
        <v>0</v>
      </c>
      <c r="V4080">
        <v>0</v>
      </c>
      <c r="W4080">
        <v>965</v>
      </c>
    </row>
    <row r="4081" spans="1:23" x14ac:dyDescent="0.25">
      <c r="H4081">
        <v>703</v>
      </c>
    </row>
    <row r="4082" spans="1:23" x14ac:dyDescent="0.25">
      <c r="A4082">
        <v>2038</v>
      </c>
      <c r="B4082">
        <v>3094</v>
      </c>
      <c r="C4082" t="s">
        <v>5570</v>
      </c>
      <c r="D4082" t="s">
        <v>76</v>
      </c>
      <c r="E4082" t="s">
        <v>58</v>
      </c>
      <c r="F4082" t="s">
        <v>5571</v>
      </c>
      <c r="G4082" t="str">
        <f>"00224674"</f>
        <v>00224674</v>
      </c>
      <c r="H4082">
        <v>935</v>
      </c>
      <c r="I4082">
        <v>0</v>
      </c>
      <c r="J4082">
        <v>30</v>
      </c>
      <c r="K4082">
        <v>0</v>
      </c>
      <c r="L4082">
        <v>0</v>
      </c>
      <c r="M4082">
        <v>0</v>
      </c>
      <c r="N4082">
        <v>0</v>
      </c>
      <c r="O4082">
        <v>0</v>
      </c>
      <c r="P4082">
        <v>0</v>
      </c>
      <c r="Q4082">
        <v>0</v>
      </c>
      <c r="R4082">
        <v>0</v>
      </c>
      <c r="S4082">
        <v>0</v>
      </c>
      <c r="T4082">
        <v>0</v>
      </c>
      <c r="V4082">
        <v>2</v>
      </c>
      <c r="W4082">
        <v>965</v>
      </c>
    </row>
    <row r="4083" spans="1:23" x14ac:dyDescent="0.25">
      <c r="H4083">
        <v>703</v>
      </c>
    </row>
    <row r="4084" spans="1:23" x14ac:dyDescent="0.25">
      <c r="A4084">
        <v>2039</v>
      </c>
      <c r="B4084">
        <v>2693</v>
      </c>
      <c r="C4084" t="s">
        <v>5572</v>
      </c>
      <c r="D4084" t="s">
        <v>15</v>
      </c>
      <c r="E4084" t="s">
        <v>53</v>
      </c>
      <c r="F4084" t="s">
        <v>5573</v>
      </c>
      <c r="G4084" t="str">
        <f>"201506004061"</f>
        <v>201506004061</v>
      </c>
      <c r="H4084">
        <v>935</v>
      </c>
      <c r="I4084">
        <v>0</v>
      </c>
      <c r="J4084">
        <v>30</v>
      </c>
      <c r="K4084">
        <v>0</v>
      </c>
      <c r="L4084">
        <v>0</v>
      </c>
      <c r="M4084">
        <v>0</v>
      </c>
      <c r="N4084">
        <v>0</v>
      </c>
      <c r="O4084">
        <v>0</v>
      </c>
      <c r="P4084">
        <v>0</v>
      </c>
      <c r="Q4084">
        <v>0</v>
      </c>
      <c r="R4084">
        <v>0</v>
      </c>
      <c r="S4084">
        <v>0</v>
      </c>
      <c r="T4084">
        <v>0</v>
      </c>
      <c r="V4084">
        <v>0</v>
      </c>
      <c r="W4084">
        <v>965</v>
      </c>
    </row>
    <row r="4085" spans="1:23" x14ac:dyDescent="0.25">
      <c r="H4085">
        <v>703</v>
      </c>
    </row>
    <row r="4086" spans="1:23" x14ac:dyDescent="0.25">
      <c r="A4086">
        <v>2040</v>
      </c>
      <c r="B4086">
        <v>1552</v>
      </c>
      <c r="C4086" t="s">
        <v>278</v>
      </c>
      <c r="D4086" t="s">
        <v>1508</v>
      </c>
      <c r="E4086" t="s">
        <v>1818</v>
      </c>
      <c r="F4086" t="s">
        <v>5574</v>
      </c>
      <c r="G4086" t="str">
        <f>"201402004350"</f>
        <v>201402004350</v>
      </c>
      <c r="H4086" t="s">
        <v>5186</v>
      </c>
      <c r="I4086">
        <v>0</v>
      </c>
      <c r="J4086">
        <v>30</v>
      </c>
      <c r="K4086">
        <v>0</v>
      </c>
      <c r="L4086">
        <v>0</v>
      </c>
      <c r="M4086">
        <v>0</v>
      </c>
      <c r="N4086">
        <v>0</v>
      </c>
      <c r="O4086">
        <v>0</v>
      </c>
      <c r="P4086">
        <v>0</v>
      </c>
      <c r="Q4086">
        <v>0</v>
      </c>
      <c r="R4086">
        <v>27</v>
      </c>
      <c r="S4086">
        <v>189</v>
      </c>
      <c r="T4086">
        <v>0</v>
      </c>
      <c r="V4086">
        <v>0</v>
      </c>
      <c r="W4086" t="s">
        <v>5575</v>
      </c>
    </row>
    <row r="4087" spans="1:23" x14ac:dyDescent="0.25">
      <c r="H4087" t="s">
        <v>26</v>
      </c>
    </row>
    <row r="4088" spans="1:23" x14ac:dyDescent="0.25">
      <c r="A4088">
        <v>2041</v>
      </c>
      <c r="B4088">
        <v>35</v>
      </c>
      <c r="C4088" t="s">
        <v>5576</v>
      </c>
      <c r="D4088" t="s">
        <v>28</v>
      </c>
      <c r="E4088" t="s">
        <v>607</v>
      </c>
      <c r="F4088" t="s">
        <v>5577</v>
      </c>
      <c r="G4088" t="str">
        <f>"00115637"</f>
        <v>00115637</v>
      </c>
      <c r="H4088" t="s">
        <v>465</v>
      </c>
      <c r="I4088">
        <v>0</v>
      </c>
      <c r="J4088">
        <v>0</v>
      </c>
      <c r="K4088">
        <v>0</v>
      </c>
      <c r="L4088">
        <v>0</v>
      </c>
      <c r="M4088">
        <v>0</v>
      </c>
      <c r="N4088">
        <v>0</v>
      </c>
      <c r="O4088">
        <v>0</v>
      </c>
      <c r="P4088">
        <v>0</v>
      </c>
      <c r="Q4088">
        <v>0</v>
      </c>
      <c r="R4088">
        <v>0</v>
      </c>
      <c r="S4088">
        <v>0</v>
      </c>
      <c r="T4088">
        <v>0</v>
      </c>
      <c r="V4088">
        <v>0</v>
      </c>
      <c r="W4088" t="s">
        <v>465</v>
      </c>
    </row>
    <row r="4089" spans="1:23" x14ac:dyDescent="0.25">
      <c r="H4089">
        <v>703</v>
      </c>
    </row>
    <row r="4090" spans="1:23" x14ac:dyDescent="0.25">
      <c r="A4090">
        <v>2042</v>
      </c>
      <c r="B4090">
        <v>2740</v>
      </c>
      <c r="C4090" t="s">
        <v>918</v>
      </c>
      <c r="D4090" t="s">
        <v>226</v>
      </c>
      <c r="E4090" t="s">
        <v>752</v>
      </c>
      <c r="F4090" t="s">
        <v>5578</v>
      </c>
      <c r="G4090" t="str">
        <f>"00230054"</f>
        <v>00230054</v>
      </c>
      <c r="H4090" t="s">
        <v>465</v>
      </c>
      <c r="I4090">
        <v>0</v>
      </c>
      <c r="J4090">
        <v>0</v>
      </c>
      <c r="K4090">
        <v>0</v>
      </c>
      <c r="L4090">
        <v>0</v>
      </c>
      <c r="M4090">
        <v>0</v>
      </c>
      <c r="N4090">
        <v>0</v>
      </c>
      <c r="O4090">
        <v>0</v>
      </c>
      <c r="P4090">
        <v>0</v>
      </c>
      <c r="Q4090">
        <v>0</v>
      </c>
      <c r="R4090">
        <v>0</v>
      </c>
      <c r="S4090">
        <v>0</v>
      </c>
      <c r="T4090">
        <v>0</v>
      </c>
      <c r="V4090">
        <v>0</v>
      </c>
      <c r="W4090" t="s">
        <v>465</v>
      </c>
    </row>
    <row r="4091" spans="1:23" x14ac:dyDescent="0.25">
      <c r="H4091">
        <v>703</v>
      </c>
    </row>
    <row r="4092" spans="1:23" x14ac:dyDescent="0.25">
      <c r="A4092">
        <v>2043</v>
      </c>
      <c r="B4092">
        <v>2364</v>
      </c>
      <c r="C4092" t="s">
        <v>5579</v>
      </c>
      <c r="D4092" t="s">
        <v>105</v>
      </c>
      <c r="E4092" t="s">
        <v>53</v>
      </c>
      <c r="F4092" t="s">
        <v>5580</v>
      </c>
      <c r="G4092" t="str">
        <f>"201511016817"</f>
        <v>201511016817</v>
      </c>
      <c r="H4092" t="s">
        <v>465</v>
      </c>
      <c r="I4092">
        <v>0</v>
      </c>
      <c r="J4092">
        <v>0</v>
      </c>
      <c r="K4092">
        <v>0</v>
      </c>
      <c r="L4092">
        <v>0</v>
      </c>
      <c r="M4092">
        <v>0</v>
      </c>
      <c r="N4092">
        <v>0</v>
      </c>
      <c r="O4092">
        <v>0</v>
      </c>
      <c r="P4092">
        <v>0</v>
      </c>
      <c r="Q4092">
        <v>0</v>
      </c>
      <c r="R4092">
        <v>0</v>
      </c>
      <c r="S4092">
        <v>0</v>
      </c>
      <c r="T4092">
        <v>0</v>
      </c>
      <c r="V4092">
        <v>0</v>
      </c>
      <c r="W4092" t="s">
        <v>465</v>
      </c>
    </row>
    <row r="4093" spans="1:23" x14ac:dyDescent="0.25">
      <c r="H4093" t="s">
        <v>3704</v>
      </c>
    </row>
    <row r="4094" spans="1:23" x14ac:dyDescent="0.25">
      <c r="A4094">
        <v>2044</v>
      </c>
      <c r="B4094">
        <v>249</v>
      </c>
      <c r="C4094" t="s">
        <v>5581</v>
      </c>
      <c r="D4094" t="s">
        <v>273</v>
      </c>
      <c r="E4094" t="s">
        <v>91</v>
      </c>
      <c r="F4094" t="s">
        <v>5582</v>
      </c>
      <c r="G4094" t="str">
        <f>"200802000684"</f>
        <v>200802000684</v>
      </c>
      <c r="H4094">
        <v>902</v>
      </c>
      <c r="I4094">
        <v>0</v>
      </c>
      <c r="J4094">
        <v>30</v>
      </c>
      <c r="K4094">
        <v>0</v>
      </c>
      <c r="L4094">
        <v>30</v>
      </c>
      <c r="M4094">
        <v>0</v>
      </c>
      <c r="N4094">
        <v>0</v>
      </c>
      <c r="O4094">
        <v>0</v>
      </c>
      <c r="P4094">
        <v>0</v>
      </c>
      <c r="Q4094">
        <v>0</v>
      </c>
      <c r="R4094">
        <v>0</v>
      </c>
      <c r="S4094">
        <v>0</v>
      </c>
      <c r="T4094">
        <v>0</v>
      </c>
      <c r="V4094">
        <v>0</v>
      </c>
      <c r="W4094">
        <v>962</v>
      </c>
    </row>
    <row r="4095" spans="1:23" x14ac:dyDescent="0.25">
      <c r="H4095" t="s">
        <v>70</v>
      </c>
    </row>
    <row r="4096" spans="1:23" x14ac:dyDescent="0.25">
      <c r="A4096">
        <v>2045</v>
      </c>
      <c r="B4096">
        <v>148</v>
      </c>
      <c r="C4096" t="s">
        <v>5583</v>
      </c>
      <c r="D4096" t="s">
        <v>58</v>
      </c>
      <c r="E4096" t="s">
        <v>369</v>
      </c>
      <c r="F4096" t="s">
        <v>5584</v>
      </c>
      <c r="G4096" t="str">
        <f>"201507003957"</f>
        <v>201507003957</v>
      </c>
      <c r="H4096">
        <v>770</v>
      </c>
      <c r="I4096">
        <v>150</v>
      </c>
      <c r="J4096">
        <v>0</v>
      </c>
      <c r="K4096">
        <v>0</v>
      </c>
      <c r="L4096">
        <v>0</v>
      </c>
      <c r="M4096">
        <v>0</v>
      </c>
      <c r="N4096">
        <v>0</v>
      </c>
      <c r="O4096">
        <v>0</v>
      </c>
      <c r="P4096">
        <v>0</v>
      </c>
      <c r="Q4096">
        <v>0</v>
      </c>
      <c r="R4096">
        <v>6</v>
      </c>
      <c r="S4096">
        <v>42</v>
      </c>
      <c r="T4096">
        <v>0</v>
      </c>
      <c r="V4096">
        <v>1</v>
      </c>
      <c r="W4096">
        <v>962</v>
      </c>
    </row>
    <row r="4097" spans="1:23" x14ac:dyDescent="0.25">
      <c r="H4097">
        <v>703</v>
      </c>
    </row>
    <row r="4098" spans="1:23" x14ac:dyDescent="0.25">
      <c r="A4098">
        <v>2046</v>
      </c>
      <c r="B4098">
        <v>2328</v>
      </c>
      <c r="C4098" t="s">
        <v>5353</v>
      </c>
      <c r="D4098" t="s">
        <v>227</v>
      </c>
      <c r="E4098" t="s">
        <v>5585</v>
      </c>
      <c r="F4098" t="s">
        <v>5586</v>
      </c>
      <c r="G4098" t="str">
        <f>"00156729"</f>
        <v>00156729</v>
      </c>
      <c r="H4098">
        <v>891</v>
      </c>
      <c r="I4098">
        <v>0</v>
      </c>
      <c r="J4098">
        <v>0</v>
      </c>
      <c r="K4098">
        <v>0</v>
      </c>
      <c r="L4098">
        <v>0</v>
      </c>
      <c r="M4098">
        <v>0</v>
      </c>
      <c r="N4098">
        <v>0</v>
      </c>
      <c r="O4098">
        <v>0</v>
      </c>
      <c r="P4098">
        <v>0</v>
      </c>
      <c r="Q4098">
        <v>0</v>
      </c>
      <c r="R4098">
        <v>10</v>
      </c>
      <c r="S4098">
        <v>70</v>
      </c>
      <c r="T4098">
        <v>0</v>
      </c>
      <c r="V4098">
        <v>0</v>
      </c>
      <c r="W4098">
        <v>961</v>
      </c>
    </row>
    <row r="4099" spans="1:23" x14ac:dyDescent="0.25">
      <c r="H4099">
        <v>703</v>
      </c>
    </row>
    <row r="4100" spans="1:23" x14ac:dyDescent="0.25">
      <c r="A4100">
        <v>2047</v>
      </c>
      <c r="B4100">
        <v>1561</v>
      </c>
      <c r="C4100" t="s">
        <v>5587</v>
      </c>
      <c r="D4100" t="s">
        <v>1401</v>
      </c>
      <c r="E4100" t="s">
        <v>947</v>
      </c>
      <c r="F4100" t="s">
        <v>5588</v>
      </c>
      <c r="G4100" t="str">
        <f>"201412002064"</f>
        <v>201412002064</v>
      </c>
      <c r="H4100">
        <v>891</v>
      </c>
      <c r="I4100">
        <v>0</v>
      </c>
      <c r="J4100">
        <v>70</v>
      </c>
      <c r="K4100">
        <v>0</v>
      </c>
      <c r="L4100">
        <v>0</v>
      </c>
      <c r="M4100">
        <v>0</v>
      </c>
      <c r="N4100">
        <v>0</v>
      </c>
      <c r="O4100">
        <v>0</v>
      </c>
      <c r="P4100">
        <v>0</v>
      </c>
      <c r="Q4100">
        <v>0</v>
      </c>
      <c r="R4100">
        <v>0</v>
      </c>
      <c r="S4100">
        <v>0</v>
      </c>
      <c r="T4100">
        <v>0</v>
      </c>
      <c r="V4100">
        <v>0</v>
      </c>
      <c r="W4100">
        <v>961</v>
      </c>
    </row>
    <row r="4101" spans="1:23" x14ac:dyDescent="0.25">
      <c r="H4101">
        <v>703</v>
      </c>
    </row>
    <row r="4102" spans="1:23" x14ac:dyDescent="0.25">
      <c r="A4102">
        <v>2048</v>
      </c>
      <c r="B4102">
        <v>1022</v>
      </c>
      <c r="C4102" t="s">
        <v>5589</v>
      </c>
      <c r="D4102" t="s">
        <v>5590</v>
      </c>
      <c r="E4102" t="s">
        <v>1818</v>
      </c>
      <c r="F4102" t="s">
        <v>5591</v>
      </c>
      <c r="G4102" t="str">
        <f>"201511026863"</f>
        <v>201511026863</v>
      </c>
      <c r="H4102" t="s">
        <v>5454</v>
      </c>
      <c r="I4102">
        <v>0</v>
      </c>
      <c r="J4102">
        <v>0</v>
      </c>
      <c r="K4102">
        <v>0</v>
      </c>
      <c r="L4102">
        <v>0</v>
      </c>
      <c r="M4102">
        <v>0</v>
      </c>
      <c r="N4102">
        <v>0</v>
      </c>
      <c r="O4102">
        <v>0</v>
      </c>
      <c r="P4102">
        <v>0</v>
      </c>
      <c r="Q4102">
        <v>0</v>
      </c>
      <c r="R4102">
        <v>31</v>
      </c>
      <c r="S4102">
        <v>217</v>
      </c>
      <c r="T4102">
        <v>0</v>
      </c>
      <c r="V4102">
        <v>0</v>
      </c>
      <c r="W4102" t="s">
        <v>5592</v>
      </c>
    </row>
    <row r="4103" spans="1:23" x14ac:dyDescent="0.25">
      <c r="H4103" t="s">
        <v>70</v>
      </c>
    </row>
    <row r="4104" spans="1:23" x14ac:dyDescent="0.25">
      <c r="A4104">
        <v>2049</v>
      </c>
      <c r="B4104">
        <v>622</v>
      </c>
      <c r="C4104" t="s">
        <v>5593</v>
      </c>
      <c r="D4104" t="s">
        <v>67</v>
      </c>
      <c r="E4104" t="s">
        <v>91</v>
      </c>
      <c r="F4104" t="s">
        <v>5594</v>
      </c>
      <c r="G4104" t="str">
        <f>"00217614"</f>
        <v>00217614</v>
      </c>
      <c r="H4104" t="s">
        <v>1532</v>
      </c>
      <c r="I4104">
        <v>0</v>
      </c>
      <c r="J4104">
        <v>30</v>
      </c>
      <c r="K4104">
        <v>0</v>
      </c>
      <c r="L4104">
        <v>0</v>
      </c>
      <c r="M4104">
        <v>0</v>
      </c>
      <c r="N4104">
        <v>0</v>
      </c>
      <c r="O4104">
        <v>0</v>
      </c>
      <c r="P4104">
        <v>0</v>
      </c>
      <c r="Q4104">
        <v>0</v>
      </c>
      <c r="R4104">
        <v>0</v>
      </c>
      <c r="S4104">
        <v>0</v>
      </c>
      <c r="T4104">
        <v>0</v>
      </c>
      <c r="V4104">
        <v>0</v>
      </c>
      <c r="W4104" t="s">
        <v>5595</v>
      </c>
    </row>
    <row r="4105" spans="1:23" x14ac:dyDescent="0.25">
      <c r="H4105">
        <v>703</v>
      </c>
    </row>
    <row r="4106" spans="1:23" x14ac:dyDescent="0.25">
      <c r="A4106">
        <v>2050</v>
      </c>
      <c r="B4106">
        <v>809</v>
      </c>
      <c r="C4106" t="s">
        <v>5596</v>
      </c>
      <c r="D4106" t="s">
        <v>99</v>
      </c>
      <c r="E4106" t="s">
        <v>41</v>
      </c>
      <c r="F4106" t="s">
        <v>5597</v>
      </c>
      <c r="G4106" t="str">
        <f>"201406009611"</f>
        <v>201406009611</v>
      </c>
      <c r="H4106" t="s">
        <v>5598</v>
      </c>
      <c r="I4106">
        <v>150</v>
      </c>
      <c r="J4106">
        <v>0</v>
      </c>
      <c r="K4106">
        <v>0</v>
      </c>
      <c r="L4106">
        <v>0</v>
      </c>
      <c r="M4106">
        <v>0</v>
      </c>
      <c r="N4106">
        <v>0</v>
      </c>
      <c r="O4106">
        <v>0</v>
      </c>
      <c r="P4106">
        <v>0</v>
      </c>
      <c r="Q4106">
        <v>0</v>
      </c>
      <c r="R4106">
        <v>5</v>
      </c>
      <c r="S4106">
        <v>35</v>
      </c>
      <c r="T4106">
        <v>0</v>
      </c>
      <c r="V4106">
        <v>2</v>
      </c>
      <c r="W4106" t="s">
        <v>5599</v>
      </c>
    </row>
    <row r="4107" spans="1:23" x14ac:dyDescent="0.25">
      <c r="H4107">
        <v>703</v>
      </c>
    </row>
    <row r="4108" spans="1:23" x14ac:dyDescent="0.25">
      <c r="A4108">
        <v>2051</v>
      </c>
      <c r="B4108">
        <v>454</v>
      </c>
      <c r="C4108" t="s">
        <v>5600</v>
      </c>
      <c r="D4108" t="s">
        <v>76</v>
      </c>
      <c r="E4108" t="s">
        <v>207</v>
      </c>
      <c r="F4108" t="s">
        <v>5601</v>
      </c>
      <c r="G4108" t="str">
        <f>"00230153"</f>
        <v>00230153</v>
      </c>
      <c r="H4108" t="s">
        <v>1049</v>
      </c>
      <c r="I4108">
        <v>0</v>
      </c>
      <c r="J4108">
        <v>50</v>
      </c>
      <c r="K4108">
        <v>0</v>
      </c>
      <c r="L4108">
        <v>0</v>
      </c>
      <c r="M4108">
        <v>0</v>
      </c>
      <c r="N4108">
        <v>0</v>
      </c>
      <c r="O4108">
        <v>0</v>
      </c>
      <c r="P4108">
        <v>0</v>
      </c>
      <c r="Q4108">
        <v>0</v>
      </c>
      <c r="R4108">
        <v>0</v>
      </c>
      <c r="S4108">
        <v>0</v>
      </c>
      <c r="T4108">
        <v>0</v>
      </c>
      <c r="V4108">
        <v>0</v>
      </c>
      <c r="W4108" t="s">
        <v>5602</v>
      </c>
    </row>
    <row r="4109" spans="1:23" x14ac:dyDescent="0.25">
      <c r="H4109">
        <v>703</v>
      </c>
    </row>
    <row r="4110" spans="1:23" x14ac:dyDescent="0.25">
      <c r="A4110">
        <v>2052</v>
      </c>
      <c r="B4110">
        <v>1506</v>
      </c>
      <c r="C4110" t="s">
        <v>5603</v>
      </c>
      <c r="D4110" t="s">
        <v>414</v>
      </c>
      <c r="E4110" t="s">
        <v>424</v>
      </c>
      <c r="F4110" t="s">
        <v>5604</v>
      </c>
      <c r="G4110" t="str">
        <f>"201511005223"</f>
        <v>201511005223</v>
      </c>
      <c r="H4110">
        <v>880</v>
      </c>
      <c r="I4110">
        <v>0</v>
      </c>
      <c r="J4110">
        <v>0</v>
      </c>
      <c r="K4110">
        <v>0</v>
      </c>
      <c r="L4110">
        <v>0</v>
      </c>
      <c r="M4110">
        <v>0</v>
      </c>
      <c r="N4110">
        <v>0</v>
      </c>
      <c r="O4110">
        <v>0</v>
      </c>
      <c r="P4110">
        <v>0</v>
      </c>
      <c r="Q4110">
        <v>0</v>
      </c>
      <c r="R4110">
        <v>11</v>
      </c>
      <c r="S4110">
        <v>77</v>
      </c>
      <c r="T4110">
        <v>0</v>
      </c>
      <c r="V4110">
        <v>1</v>
      </c>
      <c r="W4110">
        <v>957</v>
      </c>
    </row>
    <row r="4111" spans="1:23" x14ac:dyDescent="0.25">
      <c r="H4111">
        <v>703</v>
      </c>
    </row>
    <row r="4112" spans="1:23" x14ac:dyDescent="0.25">
      <c r="A4112">
        <v>2053</v>
      </c>
      <c r="B4112">
        <v>97</v>
      </c>
      <c r="C4112" t="s">
        <v>5605</v>
      </c>
      <c r="D4112" t="s">
        <v>912</v>
      </c>
      <c r="E4112" t="s">
        <v>1196</v>
      </c>
      <c r="F4112" t="s">
        <v>5606</v>
      </c>
      <c r="G4112" t="str">
        <f>"201406000831"</f>
        <v>201406000831</v>
      </c>
      <c r="H4112">
        <v>649</v>
      </c>
      <c r="I4112">
        <v>0</v>
      </c>
      <c r="J4112">
        <v>0</v>
      </c>
      <c r="K4112">
        <v>0</v>
      </c>
      <c r="L4112">
        <v>0</v>
      </c>
      <c r="M4112">
        <v>0</v>
      </c>
      <c r="N4112">
        <v>0</v>
      </c>
      <c r="O4112">
        <v>0</v>
      </c>
      <c r="P4112">
        <v>0</v>
      </c>
      <c r="Q4112">
        <v>0</v>
      </c>
      <c r="R4112">
        <v>44</v>
      </c>
      <c r="S4112">
        <v>308</v>
      </c>
      <c r="T4112">
        <v>0</v>
      </c>
      <c r="V4112">
        <v>0</v>
      </c>
      <c r="W4112">
        <v>957</v>
      </c>
    </row>
    <row r="4113" spans="1:23" x14ac:dyDescent="0.25">
      <c r="H4113">
        <v>703</v>
      </c>
    </row>
    <row r="4114" spans="1:23" x14ac:dyDescent="0.25">
      <c r="A4114">
        <v>2054</v>
      </c>
      <c r="B4114">
        <v>1430</v>
      </c>
      <c r="C4114" t="s">
        <v>5607</v>
      </c>
      <c r="D4114" t="s">
        <v>124</v>
      </c>
      <c r="E4114" t="s">
        <v>91</v>
      </c>
      <c r="F4114" t="s">
        <v>5608</v>
      </c>
      <c r="G4114" t="str">
        <f>"201511018417"</f>
        <v>201511018417</v>
      </c>
      <c r="H4114" t="s">
        <v>5609</v>
      </c>
      <c r="I4114">
        <v>150</v>
      </c>
      <c r="J4114">
        <v>0</v>
      </c>
      <c r="K4114">
        <v>0</v>
      </c>
      <c r="L4114">
        <v>0</v>
      </c>
      <c r="M4114">
        <v>0</v>
      </c>
      <c r="N4114">
        <v>0</v>
      </c>
      <c r="O4114">
        <v>0</v>
      </c>
      <c r="P4114">
        <v>0</v>
      </c>
      <c r="Q4114">
        <v>0</v>
      </c>
      <c r="R4114">
        <v>8</v>
      </c>
      <c r="S4114">
        <v>56</v>
      </c>
      <c r="T4114">
        <v>0</v>
      </c>
      <c r="V4114">
        <v>2</v>
      </c>
      <c r="W4114" t="s">
        <v>5610</v>
      </c>
    </row>
    <row r="4115" spans="1:23" x14ac:dyDescent="0.25">
      <c r="H4115" t="s">
        <v>26</v>
      </c>
    </row>
    <row r="4116" spans="1:23" x14ac:dyDescent="0.25">
      <c r="A4116">
        <v>2055</v>
      </c>
      <c r="B4116">
        <v>1000</v>
      </c>
      <c r="C4116" t="s">
        <v>5611</v>
      </c>
      <c r="D4116" t="s">
        <v>1760</v>
      </c>
      <c r="E4116" t="s">
        <v>5612</v>
      </c>
      <c r="F4116" t="s">
        <v>5613</v>
      </c>
      <c r="G4116" t="str">
        <f>"00227430"</f>
        <v>00227430</v>
      </c>
      <c r="H4116" t="s">
        <v>1238</v>
      </c>
      <c r="I4116">
        <v>0</v>
      </c>
      <c r="J4116">
        <v>70</v>
      </c>
      <c r="K4116">
        <v>0</v>
      </c>
      <c r="L4116">
        <v>0</v>
      </c>
      <c r="M4116">
        <v>0</v>
      </c>
      <c r="N4116">
        <v>0</v>
      </c>
      <c r="O4116">
        <v>0</v>
      </c>
      <c r="P4116">
        <v>0</v>
      </c>
      <c r="Q4116">
        <v>0</v>
      </c>
      <c r="R4116">
        <v>0</v>
      </c>
      <c r="S4116">
        <v>0</v>
      </c>
      <c r="T4116">
        <v>0</v>
      </c>
      <c r="V4116">
        <v>2</v>
      </c>
      <c r="W4116" t="s">
        <v>5614</v>
      </c>
    </row>
    <row r="4117" spans="1:23" x14ac:dyDescent="0.25">
      <c r="H4117" t="s">
        <v>70</v>
      </c>
    </row>
    <row r="4118" spans="1:23" x14ac:dyDescent="0.25">
      <c r="A4118">
        <v>2056</v>
      </c>
      <c r="B4118">
        <v>4</v>
      </c>
      <c r="C4118" t="s">
        <v>5615</v>
      </c>
      <c r="D4118" t="s">
        <v>4296</v>
      </c>
      <c r="E4118" t="s">
        <v>91</v>
      </c>
      <c r="F4118" t="s">
        <v>5616</v>
      </c>
      <c r="G4118" t="str">
        <f>"00157588"</f>
        <v>00157588</v>
      </c>
      <c r="H4118" t="s">
        <v>1690</v>
      </c>
      <c r="I4118">
        <v>0</v>
      </c>
      <c r="J4118">
        <v>70</v>
      </c>
      <c r="K4118">
        <v>0</v>
      </c>
      <c r="L4118">
        <v>0</v>
      </c>
      <c r="M4118">
        <v>0</v>
      </c>
      <c r="N4118">
        <v>30</v>
      </c>
      <c r="O4118">
        <v>0</v>
      </c>
      <c r="P4118">
        <v>0</v>
      </c>
      <c r="Q4118">
        <v>0</v>
      </c>
      <c r="R4118">
        <v>0</v>
      </c>
      <c r="S4118">
        <v>0</v>
      </c>
      <c r="T4118">
        <v>0</v>
      </c>
      <c r="V4118">
        <v>0</v>
      </c>
      <c r="W4118" t="s">
        <v>5617</v>
      </c>
    </row>
    <row r="4119" spans="1:23" x14ac:dyDescent="0.25">
      <c r="H4119" t="s">
        <v>70</v>
      </c>
    </row>
    <row r="4120" spans="1:23" x14ac:dyDescent="0.25">
      <c r="A4120">
        <v>2057</v>
      </c>
      <c r="B4120">
        <v>1212</v>
      </c>
      <c r="C4120" t="s">
        <v>5618</v>
      </c>
      <c r="D4120" t="s">
        <v>167</v>
      </c>
      <c r="E4120" t="s">
        <v>91</v>
      </c>
      <c r="F4120" t="s">
        <v>5619</v>
      </c>
      <c r="G4120" t="str">
        <f>"00226104"</f>
        <v>00226104</v>
      </c>
      <c r="H4120">
        <v>924</v>
      </c>
      <c r="I4120">
        <v>0</v>
      </c>
      <c r="J4120">
        <v>30</v>
      </c>
      <c r="K4120">
        <v>0</v>
      </c>
      <c r="L4120">
        <v>0</v>
      </c>
      <c r="M4120">
        <v>0</v>
      </c>
      <c r="N4120">
        <v>0</v>
      </c>
      <c r="O4120">
        <v>0</v>
      </c>
      <c r="P4120">
        <v>0</v>
      </c>
      <c r="Q4120">
        <v>0</v>
      </c>
      <c r="R4120">
        <v>0</v>
      </c>
      <c r="S4120">
        <v>0</v>
      </c>
      <c r="T4120">
        <v>0</v>
      </c>
      <c r="V4120">
        <v>0</v>
      </c>
      <c r="W4120">
        <v>954</v>
      </c>
    </row>
    <row r="4121" spans="1:23" x14ac:dyDescent="0.25">
      <c r="H4121">
        <v>703</v>
      </c>
    </row>
    <row r="4122" spans="1:23" x14ac:dyDescent="0.25">
      <c r="A4122">
        <v>2058</v>
      </c>
      <c r="B4122">
        <v>67</v>
      </c>
      <c r="C4122" t="s">
        <v>5620</v>
      </c>
      <c r="D4122" t="s">
        <v>112</v>
      </c>
      <c r="E4122" t="s">
        <v>468</v>
      </c>
      <c r="F4122" t="s">
        <v>5621</v>
      </c>
      <c r="G4122" t="str">
        <f>"00150804"</f>
        <v>00150804</v>
      </c>
      <c r="H4122">
        <v>924</v>
      </c>
      <c r="I4122">
        <v>0</v>
      </c>
      <c r="J4122">
        <v>30</v>
      </c>
      <c r="K4122">
        <v>0</v>
      </c>
      <c r="L4122">
        <v>0</v>
      </c>
      <c r="M4122">
        <v>0</v>
      </c>
      <c r="N4122">
        <v>0</v>
      </c>
      <c r="O4122">
        <v>0</v>
      </c>
      <c r="P4122">
        <v>0</v>
      </c>
      <c r="Q4122">
        <v>0</v>
      </c>
      <c r="R4122">
        <v>0</v>
      </c>
      <c r="S4122">
        <v>0</v>
      </c>
      <c r="T4122">
        <v>0</v>
      </c>
      <c r="V4122">
        <v>2</v>
      </c>
      <c r="W4122">
        <v>954</v>
      </c>
    </row>
    <row r="4123" spans="1:23" x14ac:dyDescent="0.25">
      <c r="H4123">
        <v>703</v>
      </c>
    </row>
    <row r="4124" spans="1:23" x14ac:dyDescent="0.25">
      <c r="A4124">
        <v>2059</v>
      </c>
      <c r="B4124">
        <v>389</v>
      </c>
      <c r="C4124" t="s">
        <v>5622</v>
      </c>
      <c r="D4124" t="s">
        <v>5623</v>
      </c>
      <c r="E4124" t="s">
        <v>372</v>
      </c>
      <c r="F4124" t="s">
        <v>5624</v>
      </c>
      <c r="G4124" t="str">
        <f>"201401001429"</f>
        <v>201401001429</v>
      </c>
      <c r="H4124" t="s">
        <v>3917</v>
      </c>
      <c r="I4124">
        <v>0</v>
      </c>
      <c r="J4124">
        <v>30</v>
      </c>
      <c r="K4124">
        <v>0</v>
      </c>
      <c r="L4124">
        <v>0</v>
      </c>
      <c r="M4124">
        <v>0</v>
      </c>
      <c r="N4124">
        <v>0</v>
      </c>
      <c r="O4124">
        <v>0</v>
      </c>
      <c r="P4124">
        <v>0</v>
      </c>
      <c r="Q4124">
        <v>0</v>
      </c>
      <c r="R4124">
        <v>29</v>
      </c>
      <c r="S4124">
        <v>203</v>
      </c>
      <c r="T4124">
        <v>0</v>
      </c>
      <c r="V4124">
        <v>0</v>
      </c>
      <c r="W4124" t="s">
        <v>5625</v>
      </c>
    </row>
    <row r="4125" spans="1:23" x14ac:dyDescent="0.25">
      <c r="H4125" t="s">
        <v>26</v>
      </c>
    </row>
    <row r="4126" spans="1:23" x14ac:dyDescent="0.25">
      <c r="A4126">
        <v>2060</v>
      </c>
      <c r="B4126">
        <v>1452</v>
      </c>
      <c r="C4126" t="s">
        <v>5626</v>
      </c>
      <c r="D4126" t="s">
        <v>273</v>
      </c>
      <c r="E4126" t="s">
        <v>53</v>
      </c>
      <c r="F4126" t="s">
        <v>5627</v>
      </c>
      <c r="G4126" t="str">
        <f>"00224598"</f>
        <v>00224598</v>
      </c>
      <c r="H4126" t="s">
        <v>217</v>
      </c>
      <c r="I4126">
        <v>0</v>
      </c>
      <c r="J4126">
        <v>0</v>
      </c>
      <c r="K4126">
        <v>0</v>
      </c>
      <c r="L4126">
        <v>0</v>
      </c>
      <c r="M4126">
        <v>0</v>
      </c>
      <c r="N4126">
        <v>0</v>
      </c>
      <c r="O4126">
        <v>0</v>
      </c>
      <c r="P4126">
        <v>0</v>
      </c>
      <c r="Q4126">
        <v>0</v>
      </c>
      <c r="R4126">
        <v>0</v>
      </c>
      <c r="S4126">
        <v>0</v>
      </c>
      <c r="T4126">
        <v>0</v>
      </c>
      <c r="V4126">
        <v>0</v>
      </c>
      <c r="W4126" t="s">
        <v>217</v>
      </c>
    </row>
    <row r="4127" spans="1:23" x14ac:dyDescent="0.25">
      <c r="H4127" t="s">
        <v>5628</v>
      </c>
    </row>
    <row r="4128" spans="1:23" x14ac:dyDescent="0.25">
      <c r="A4128">
        <v>2061</v>
      </c>
      <c r="B4128">
        <v>2863</v>
      </c>
      <c r="C4128" t="s">
        <v>5629</v>
      </c>
      <c r="D4128" t="s">
        <v>20</v>
      </c>
      <c r="E4128" t="s">
        <v>109</v>
      </c>
      <c r="F4128" t="s">
        <v>5630</v>
      </c>
      <c r="G4128" t="str">
        <f>"200801002297"</f>
        <v>200801002297</v>
      </c>
      <c r="H4128" t="s">
        <v>217</v>
      </c>
      <c r="I4128">
        <v>0</v>
      </c>
      <c r="J4128">
        <v>0</v>
      </c>
      <c r="K4128">
        <v>0</v>
      </c>
      <c r="L4128">
        <v>0</v>
      </c>
      <c r="M4128">
        <v>0</v>
      </c>
      <c r="N4128">
        <v>0</v>
      </c>
      <c r="O4128">
        <v>0</v>
      </c>
      <c r="P4128">
        <v>0</v>
      </c>
      <c r="Q4128">
        <v>0</v>
      </c>
      <c r="R4128">
        <v>0</v>
      </c>
      <c r="S4128">
        <v>0</v>
      </c>
      <c r="T4128">
        <v>0</v>
      </c>
      <c r="V4128">
        <v>0</v>
      </c>
      <c r="W4128" t="s">
        <v>217</v>
      </c>
    </row>
    <row r="4129" spans="1:23" x14ac:dyDescent="0.25">
      <c r="H4129">
        <v>703</v>
      </c>
    </row>
    <row r="4130" spans="1:23" x14ac:dyDescent="0.25">
      <c r="A4130">
        <v>2062</v>
      </c>
      <c r="B4130">
        <v>245</v>
      </c>
      <c r="C4130" t="s">
        <v>103</v>
      </c>
      <c r="D4130" t="s">
        <v>404</v>
      </c>
      <c r="E4130" t="s">
        <v>62</v>
      </c>
      <c r="F4130" t="s">
        <v>5631</v>
      </c>
      <c r="G4130" t="str">
        <f>"00226639"</f>
        <v>00226639</v>
      </c>
      <c r="H4130" t="s">
        <v>217</v>
      </c>
      <c r="I4130">
        <v>0</v>
      </c>
      <c r="J4130">
        <v>0</v>
      </c>
      <c r="K4130">
        <v>0</v>
      </c>
      <c r="L4130">
        <v>0</v>
      </c>
      <c r="M4130">
        <v>0</v>
      </c>
      <c r="N4130">
        <v>0</v>
      </c>
      <c r="O4130">
        <v>0</v>
      </c>
      <c r="P4130">
        <v>0</v>
      </c>
      <c r="Q4130">
        <v>0</v>
      </c>
      <c r="R4130">
        <v>0</v>
      </c>
      <c r="S4130">
        <v>0</v>
      </c>
      <c r="T4130">
        <v>0</v>
      </c>
      <c r="V4130">
        <v>1</v>
      </c>
      <c r="W4130" t="s">
        <v>217</v>
      </c>
    </row>
    <row r="4131" spans="1:23" x14ac:dyDescent="0.25">
      <c r="H4131">
        <v>703</v>
      </c>
    </row>
    <row r="4132" spans="1:23" x14ac:dyDescent="0.25">
      <c r="A4132">
        <v>2063</v>
      </c>
      <c r="B4132">
        <v>458</v>
      </c>
      <c r="C4132" t="s">
        <v>5632</v>
      </c>
      <c r="D4132" t="s">
        <v>722</v>
      </c>
      <c r="E4132" t="s">
        <v>53</v>
      </c>
      <c r="F4132" t="s">
        <v>5633</v>
      </c>
      <c r="G4132" t="str">
        <f>"00221963"</f>
        <v>00221963</v>
      </c>
      <c r="H4132" t="s">
        <v>2715</v>
      </c>
      <c r="I4132">
        <v>0</v>
      </c>
      <c r="J4132">
        <v>0</v>
      </c>
      <c r="K4132">
        <v>0</v>
      </c>
      <c r="L4132">
        <v>0</v>
      </c>
      <c r="M4132">
        <v>0</v>
      </c>
      <c r="N4132">
        <v>0</v>
      </c>
      <c r="O4132">
        <v>0</v>
      </c>
      <c r="P4132">
        <v>0</v>
      </c>
      <c r="Q4132">
        <v>0</v>
      </c>
      <c r="R4132">
        <v>36</v>
      </c>
      <c r="S4132">
        <v>252</v>
      </c>
      <c r="T4132">
        <v>0</v>
      </c>
      <c r="V4132">
        <v>0</v>
      </c>
      <c r="W4132" t="s">
        <v>5634</v>
      </c>
    </row>
    <row r="4133" spans="1:23" x14ac:dyDescent="0.25">
      <c r="H4133">
        <v>703</v>
      </c>
    </row>
    <row r="4134" spans="1:23" x14ac:dyDescent="0.25">
      <c r="A4134">
        <v>2064</v>
      </c>
      <c r="B4134">
        <v>1964</v>
      </c>
      <c r="C4134" t="s">
        <v>5635</v>
      </c>
      <c r="D4134" t="s">
        <v>5636</v>
      </c>
      <c r="E4134" t="s">
        <v>533</v>
      </c>
      <c r="F4134" t="s">
        <v>5637</v>
      </c>
      <c r="G4134" t="str">
        <f>"00039743"</f>
        <v>00039743</v>
      </c>
      <c r="H4134">
        <v>495</v>
      </c>
      <c r="I4134">
        <v>0</v>
      </c>
      <c r="J4134">
        <v>70</v>
      </c>
      <c r="K4134">
        <v>0</v>
      </c>
      <c r="L4134">
        <v>0</v>
      </c>
      <c r="M4134">
        <v>0</v>
      </c>
      <c r="N4134">
        <v>0</v>
      </c>
      <c r="O4134">
        <v>0</v>
      </c>
      <c r="P4134">
        <v>0</v>
      </c>
      <c r="Q4134">
        <v>0</v>
      </c>
      <c r="R4134">
        <v>55</v>
      </c>
      <c r="S4134">
        <v>385</v>
      </c>
      <c r="T4134">
        <v>0</v>
      </c>
      <c r="V4134">
        <v>0</v>
      </c>
      <c r="W4134">
        <v>950</v>
      </c>
    </row>
    <row r="4135" spans="1:23" x14ac:dyDescent="0.25">
      <c r="H4135" t="s">
        <v>70</v>
      </c>
    </row>
    <row r="4136" spans="1:23" x14ac:dyDescent="0.25">
      <c r="A4136">
        <v>2065</v>
      </c>
      <c r="B4136">
        <v>1505</v>
      </c>
      <c r="C4136" t="s">
        <v>5638</v>
      </c>
      <c r="D4136" t="s">
        <v>219</v>
      </c>
      <c r="E4136" t="s">
        <v>15</v>
      </c>
      <c r="F4136" t="s">
        <v>5639</v>
      </c>
      <c r="G4136" t="str">
        <f>"00164016"</f>
        <v>00164016</v>
      </c>
      <c r="H4136" t="s">
        <v>579</v>
      </c>
      <c r="I4136">
        <v>0</v>
      </c>
      <c r="J4136">
        <v>0</v>
      </c>
      <c r="K4136">
        <v>0</v>
      </c>
      <c r="L4136">
        <v>0</v>
      </c>
      <c r="M4136">
        <v>0</v>
      </c>
      <c r="N4136">
        <v>0</v>
      </c>
      <c r="O4136">
        <v>0</v>
      </c>
      <c r="P4136">
        <v>0</v>
      </c>
      <c r="Q4136">
        <v>0</v>
      </c>
      <c r="R4136">
        <v>0</v>
      </c>
      <c r="S4136">
        <v>0</v>
      </c>
      <c r="T4136">
        <v>0</v>
      </c>
      <c r="V4136">
        <v>0</v>
      </c>
      <c r="W4136" t="s">
        <v>579</v>
      </c>
    </row>
    <row r="4137" spans="1:23" x14ac:dyDescent="0.25">
      <c r="H4137">
        <v>703</v>
      </c>
    </row>
    <row r="4138" spans="1:23" x14ac:dyDescent="0.25">
      <c r="A4138">
        <v>2066</v>
      </c>
      <c r="B4138">
        <v>2285</v>
      </c>
      <c r="C4138" t="s">
        <v>5640</v>
      </c>
      <c r="D4138" t="s">
        <v>5641</v>
      </c>
      <c r="E4138" t="s">
        <v>105</v>
      </c>
      <c r="F4138" t="s">
        <v>5642</v>
      </c>
      <c r="G4138" t="str">
        <f>"00011373"</f>
        <v>00011373</v>
      </c>
      <c r="H4138" t="s">
        <v>840</v>
      </c>
      <c r="I4138">
        <v>0</v>
      </c>
      <c r="J4138">
        <v>30</v>
      </c>
      <c r="K4138">
        <v>0</v>
      </c>
      <c r="L4138">
        <v>0</v>
      </c>
      <c r="M4138">
        <v>0</v>
      </c>
      <c r="N4138">
        <v>0</v>
      </c>
      <c r="O4138">
        <v>0</v>
      </c>
      <c r="P4138">
        <v>0</v>
      </c>
      <c r="Q4138">
        <v>0</v>
      </c>
      <c r="R4138">
        <v>0</v>
      </c>
      <c r="S4138">
        <v>0</v>
      </c>
      <c r="T4138">
        <v>0</v>
      </c>
      <c r="V4138">
        <v>0</v>
      </c>
      <c r="W4138" t="s">
        <v>5643</v>
      </c>
    </row>
    <row r="4139" spans="1:23" x14ac:dyDescent="0.25">
      <c r="H4139">
        <v>703</v>
      </c>
    </row>
    <row r="4140" spans="1:23" x14ac:dyDescent="0.25">
      <c r="A4140">
        <v>2067</v>
      </c>
      <c r="B4140">
        <v>833</v>
      </c>
      <c r="C4140" t="s">
        <v>5644</v>
      </c>
      <c r="D4140" t="s">
        <v>414</v>
      </c>
      <c r="E4140" t="s">
        <v>99</v>
      </c>
      <c r="F4140" t="s">
        <v>5645</v>
      </c>
      <c r="G4140" t="str">
        <f>"201410002326"</f>
        <v>201410002326</v>
      </c>
      <c r="H4140" t="s">
        <v>840</v>
      </c>
      <c r="I4140">
        <v>0</v>
      </c>
      <c r="J4140">
        <v>30</v>
      </c>
      <c r="K4140">
        <v>0</v>
      </c>
      <c r="L4140">
        <v>0</v>
      </c>
      <c r="M4140">
        <v>0</v>
      </c>
      <c r="N4140">
        <v>0</v>
      </c>
      <c r="O4140">
        <v>0</v>
      </c>
      <c r="P4140">
        <v>0</v>
      </c>
      <c r="Q4140">
        <v>0</v>
      </c>
      <c r="R4140">
        <v>0</v>
      </c>
      <c r="S4140">
        <v>0</v>
      </c>
      <c r="T4140">
        <v>0</v>
      </c>
      <c r="V4140">
        <v>0</v>
      </c>
      <c r="W4140" t="s">
        <v>5643</v>
      </c>
    </row>
    <row r="4141" spans="1:23" x14ac:dyDescent="0.25">
      <c r="H4141" t="s">
        <v>70</v>
      </c>
    </row>
    <row r="4142" spans="1:23" x14ac:dyDescent="0.25">
      <c r="A4142">
        <v>2068</v>
      </c>
      <c r="B4142">
        <v>1178</v>
      </c>
      <c r="C4142" t="s">
        <v>5646</v>
      </c>
      <c r="D4142" t="s">
        <v>40</v>
      </c>
      <c r="E4142" t="s">
        <v>592</v>
      </c>
      <c r="F4142" t="s">
        <v>5647</v>
      </c>
      <c r="G4142" t="str">
        <f>"00146368"</f>
        <v>00146368</v>
      </c>
      <c r="H4142" t="s">
        <v>840</v>
      </c>
      <c r="I4142">
        <v>0</v>
      </c>
      <c r="J4142">
        <v>30</v>
      </c>
      <c r="K4142">
        <v>0</v>
      </c>
      <c r="L4142">
        <v>0</v>
      </c>
      <c r="M4142">
        <v>0</v>
      </c>
      <c r="N4142">
        <v>0</v>
      </c>
      <c r="O4142">
        <v>0</v>
      </c>
      <c r="P4142">
        <v>0</v>
      </c>
      <c r="Q4142">
        <v>0</v>
      </c>
      <c r="R4142">
        <v>0</v>
      </c>
      <c r="S4142">
        <v>0</v>
      </c>
      <c r="T4142">
        <v>0</v>
      </c>
      <c r="V4142">
        <v>0</v>
      </c>
      <c r="W4142" t="s">
        <v>5643</v>
      </c>
    </row>
    <row r="4143" spans="1:23" x14ac:dyDescent="0.25">
      <c r="H4143">
        <v>703</v>
      </c>
    </row>
    <row r="4144" spans="1:23" x14ac:dyDescent="0.25">
      <c r="A4144">
        <v>2069</v>
      </c>
      <c r="B4144">
        <v>485</v>
      </c>
      <c r="C4144" t="s">
        <v>5648</v>
      </c>
      <c r="D4144" t="s">
        <v>5649</v>
      </c>
      <c r="E4144" t="s">
        <v>607</v>
      </c>
      <c r="F4144" t="s">
        <v>5650</v>
      </c>
      <c r="G4144" t="str">
        <f>"200809000644"</f>
        <v>200809000644</v>
      </c>
      <c r="H4144" t="s">
        <v>5651</v>
      </c>
      <c r="I4144">
        <v>0</v>
      </c>
      <c r="J4144">
        <v>0</v>
      </c>
      <c r="K4144">
        <v>0</v>
      </c>
      <c r="L4144">
        <v>0</v>
      </c>
      <c r="M4144">
        <v>0</v>
      </c>
      <c r="N4144">
        <v>0</v>
      </c>
      <c r="O4144">
        <v>0</v>
      </c>
      <c r="P4144">
        <v>0</v>
      </c>
      <c r="Q4144">
        <v>0</v>
      </c>
      <c r="R4144">
        <v>0</v>
      </c>
      <c r="S4144">
        <v>0</v>
      </c>
      <c r="T4144">
        <v>0</v>
      </c>
      <c r="V4144">
        <v>0</v>
      </c>
      <c r="W4144" t="s">
        <v>5651</v>
      </c>
    </row>
    <row r="4145" spans="1:23" x14ac:dyDescent="0.25">
      <c r="H4145">
        <v>703</v>
      </c>
    </row>
    <row r="4146" spans="1:23" x14ac:dyDescent="0.25">
      <c r="A4146">
        <v>2070</v>
      </c>
      <c r="B4146">
        <v>590</v>
      </c>
      <c r="C4146" t="s">
        <v>5652</v>
      </c>
      <c r="D4146" t="s">
        <v>105</v>
      </c>
      <c r="E4146" t="s">
        <v>53</v>
      </c>
      <c r="F4146" t="s">
        <v>5653</v>
      </c>
      <c r="G4146" t="str">
        <f>"201511036532"</f>
        <v>201511036532</v>
      </c>
      <c r="H4146" t="s">
        <v>2374</v>
      </c>
      <c r="I4146">
        <v>150</v>
      </c>
      <c r="J4146">
        <v>0</v>
      </c>
      <c r="K4146">
        <v>0</v>
      </c>
      <c r="L4146">
        <v>0</v>
      </c>
      <c r="M4146">
        <v>0</v>
      </c>
      <c r="N4146">
        <v>0</v>
      </c>
      <c r="O4146">
        <v>0</v>
      </c>
      <c r="P4146">
        <v>0</v>
      </c>
      <c r="Q4146">
        <v>0</v>
      </c>
      <c r="R4146">
        <v>0</v>
      </c>
      <c r="S4146">
        <v>0</v>
      </c>
      <c r="T4146">
        <v>0</v>
      </c>
      <c r="V4146">
        <v>0</v>
      </c>
      <c r="W4146" t="s">
        <v>5654</v>
      </c>
    </row>
    <row r="4147" spans="1:23" x14ac:dyDescent="0.25">
      <c r="H4147">
        <v>703</v>
      </c>
    </row>
    <row r="4148" spans="1:23" x14ac:dyDescent="0.25">
      <c r="A4148">
        <v>2071</v>
      </c>
      <c r="B4148">
        <v>1756</v>
      </c>
      <c r="C4148" t="s">
        <v>5655</v>
      </c>
      <c r="D4148" t="s">
        <v>185</v>
      </c>
      <c r="E4148" t="s">
        <v>105</v>
      </c>
      <c r="F4148" t="s">
        <v>5656</v>
      </c>
      <c r="G4148" t="str">
        <f>"201511036213"</f>
        <v>201511036213</v>
      </c>
      <c r="H4148" t="s">
        <v>1001</v>
      </c>
      <c r="I4148">
        <v>0</v>
      </c>
      <c r="J4148">
        <v>50</v>
      </c>
      <c r="K4148">
        <v>0</v>
      </c>
      <c r="L4148">
        <v>0</v>
      </c>
      <c r="M4148">
        <v>0</v>
      </c>
      <c r="N4148">
        <v>0</v>
      </c>
      <c r="O4148">
        <v>0</v>
      </c>
      <c r="P4148">
        <v>0</v>
      </c>
      <c r="Q4148">
        <v>0</v>
      </c>
      <c r="R4148">
        <v>0</v>
      </c>
      <c r="S4148">
        <v>0</v>
      </c>
      <c r="T4148">
        <v>0</v>
      </c>
      <c r="V4148">
        <v>0</v>
      </c>
      <c r="W4148" t="s">
        <v>5657</v>
      </c>
    </row>
    <row r="4149" spans="1:23" x14ac:dyDescent="0.25">
      <c r="H4149" t="s">
        <v>70</v>
      </c>
    </row>
    <row r="4150" spans="1:23" x14ac:dyDescent="0.25">
      <c r="A4150">
        <v>2072</v>
      </c>
      <c r="B4150">
        <v>2784</v>
      </c>
      <c r="C4150" t="s">
        <v>5658</v>
      </c>
      <c r="D4150" t="s">
        <v>273</v>
      </c>
      <c r="E4150" t="s">
        <v>468</v>
      </c>
      <c r="F4150" t="s">
        <v>5659</v>
      </c>
      <c r="G4150" t="str">
        <f>"201511027996"</f>
        <v>201511027996</v>
      </c>
      <c r="H4150">
        <v>946</v>
      </c>
      <c r="I4150">
        <v>0</v>
      </c>
      <c r="J4150">
        <v>0</v>
      </c>
      <c r="K4150">
        <v>0</v>
      </c>
      <c r="L4150">
        <v>0</v>
      </c>
      <c r="M4150">
        <v>0</v>
      </c>
      <c r="N4150">
        <v>0</v>
      </c>
      <c r="O4150">
        <v>0</v>
      </c>
      <c r="P4150">
        <v>0</v>
      </c>
      <c r="Q4150">
        <v>0</v>
      </c>
      <c r="R4150">
        <v>0</v>
      </c>
      <c r="S4150">
        <v>0</v>
      </c>
      <c r="T4150">
        <v>0</v>
      </c>
      <c r="V4150">
        <v>0</v>
      </c>
      <c r="W4150">
        <v>946</v>
      </c>
    </row>
    <row r="4151" spans="1:23" x14ac:dyDescent="0.25">
      <c r="H4151" t="s">
        <v>3704</v>
      </c>
    </row>
    <row r="4152" spans="1:23" x14ac:dyDescent="0.25">
      <c r="A4152">
        <v>2073</v>
      </c>
      <c r="B4152">
        <v>2460</v>
      </c>
      <c r="C4152" t="s">
        <v>5660</v>
      </c>
      <c r="D4152" t="s">
        <v>5661</v>
      </c>
      <c r="E4152" t="s">
        <v>109</v>
      </c>
      <c r="F4152" t="s">
        <v>5662</v>
      </c>
      <c r="G4152" t="str">
        <f>"00226085"</f>
        <v>00226085</v>
      </c>
      <c r="H4152" t="s">
        <v>5663</v>
      </c>
      <c r="I4152">
        <v>0</v>
      </c>
      <c r="J4152">
        <v>0</v>
      </c>
      <c r="K4152">
        <v>0</v>
      </c>
      <c r="L4152">
        <v>0</v>
      </c>
      <c r="M4152">
        <v>0</v>
      </c>
      <c r="N4152">
        <v>0</v>
      </c>
      <c r="O4152">
        <v>0</v>
      </c>
      <c r="P4152">
        <v>0</v>
      </c>
      <c r="Q4152">
        <v>0</v>
      </c>
      <c r="R4152">
        <v>5</v>
      </c>
      <c r="S4152">
        <v>35</v>
      </c>
      <c r="T4152">
        <v>0</v>
      </c>
      <c r="V4152">
        <v>0</v>
      </c>
      <c r="W4152" t="s">
        <v>5664</v>
      </c>
    </row>
    <row r="4153" spans="1:23" x14ac:dyDescent="0.25">
      <c r="H4153">
        <v>703</v>
      </c>
    </row>
    <row r="4154" spans="1:23" x14ac:dyDescent="0.25">
      <c r="A4154">
        <v>2074</v>
      </c>
      <c r="B4154">
        <v>3058</v>
      </c>
      <c r="C4154" t="s">
        <v>963</v>
      </c>
      <c r="D4154" t="s">
        <v>134</v>
      </c>
      <c r="E4154" t="s">
        <v>76</v>
      </c>
      <c r="F4154" t="s">
        <v>5665</v>
      </c>
      <c r="G4154" t="str">
        <f>"00081229"</f>
        <v>00081229</v>
      </c>
      <c r="H4154">
        <v>825</v>
      </c>
      <c r="I4154">
        <v>0</v>
      </c>
      <c r="J4154">
        <v>70</v>
      </c>
      <c r="K4154">
        <v>0</v>
      </c>
      <c r="L4154">
        <v>0</v>
      </c>
      <c r="M4154">
        <v>50</v>
      </c>
      <c r="N4154">
        <v>0</v>
      </c>
      <c r="O4154">
        <v>0</v>
      </c>
      <c r="P4154">
        <v>0</v>
      </c>
      <c r="Q4154">
        <v>0</v>
      </c>
      <c r="R4154">
        <v>0</v>
      </c>
      <c r="S4154">
        <v>0</v>
      </c>
      <c r="T4154">
        <v>0</v>
      </c>
      <c r="V4154">
        <v>0</v>
      </c>
      <c r="W4154">
        <v>945</v>
      </c>
    </row>
    <row r="4155" spans="1:23" x14ac:dyDescent="0.25">
      <c r="H4155" t="s">
        <v>26</v>
      </c>
    </row>
    <row r="4156" spans="1:23" x14ac:dyDescent="0.25">
      <c r="A4156">
        <v>2075</v>
      </c>
      <c r="B4156">
        <v>1998</v>
      </c>
      <c r="C4156" t="s">
        <v>4080</v>
      </c>
      <c r="D4156" t="s">
        <v>1483</v>
      </c>
      <c r="E4156" t="s">
        <v>109</v>
      </c>
      <c r="F4156" t="s">
        <v>5666</v>
      </c>
      <c r="G4156" t="str">
        <f>"201401000439"</f>
        <v>201401000439</v>
      </c>
      <c r="H4156">
        <v>858</v>
      </c>
      <c r="I4156">
        <v>0</v>
      </c>
      <c r="J4156">
        <v>30</v>
      </c>
      <c r="K4156">
        <v>0</v>
      </c>
      <c r="L4156">
        <v>0</v>
      </c>
      <c r="M4156">
        <v>0</v>
      </c>
      <c r="N4156">
        <v>0</v>
      </c>
      <c r="O4156">
        <v>0</v>
      </c>
      <c r="P4156">
        <v>0</v>
      </c>
      <c r="Q4156">
        <v>0</v>
      </c>
      <c r="R4156">
        <v>8</v>
      </c>
      <c r="S4156">
        <v>56</v>
      </c>
      <c r="T4156">
        <v>0</v>
      </c>
      <c r="V4156">
        <v>0</v>
      </c>
      <c r="W4156">
        <v>944</v>
      </c>
    </row>
    <row r="4157" spans="1:23" x14ac:dyDescent="0.25">
      <c r="H4157">
        <v>703</v>
      </c>
    </row>
    <row r="4158" spans="1:23" x14ac:dyDescent="0.25">
      <c r="A4158">
        <v>2076</v>
      </c>
      <c r="B4158">
        <v>2767</v>
      </c>
      <c r="C4158" t="s">
        <v>4054</v>
      </c>
      <c r="D4158" t="s">
        <v>5667</v>
      </c>
      <c r="E4158" t="s">
        <v>53</v>
      </c>
      <c r="F4158" t="s">
        <v>5668</v>
      </c>
      <c r="G4158" t="str">
        <f>"00102977"</f>
        <v>00102977</v>
      </c>
      <c r="H4158">
        <v>858</v>
      </c>
      <c r="I4158">
        <v>0</v>
      </c>
      <c r="J4158">
        <v>30</v>
      </c>
      <c r="K4158">
        <v>0</v>
      </c>
      <c r="L4158">
        <v>0</v>
      </c>
      <c r="M4158">
        <v>0</v>
      </c>
      <c r="N4158">
        <v>0</v>
      </c>
      <c r="O4158">
        <v>0</v>
      </c>
      <c r="P4158">
        <v>0</v>
      </c>
      <c r="Q4158">
        <v>0</v>
      </c>
      <c r="R4158">
        <v>8</v>
      </c>
      <c r="S4158">
        <v>56</v>
      </c>
      <c r="T4158">
        <v>0</v>
      </c>
      <c r="V4158">
        <v>1</v>
      </c>
      <c r="W4158">
        <v>944</v>
      </c>
    </row>
    <row r="4159" spans="1:23" x14ac:dyDescent="0.25">
      <c r="H4159">
        <v>703</v>
      </c>
    </row>
    <row r="4160" spans="1:23" x14ac:dyDescent="0.25">
      <c r="A4160">
        <v>2077</v>
      </c>
      <c r="B4160">
        <v>3032</v>
      </c>
      <c r="C4160" t="s">
        <v>5669</v>
      </c>
      <c r="D4160" t="s">
        <v>258</v>
      </c>
      <c r="E4160" t="s">
        <v>91</v>
      </c>
      <c r="F4160" t="s">
        <v>5670</v>
      </c>
      <c r="G4160" t="str">
        <f>"00012296"</f>
        <v>00012296</v>
      </c>
      <c r="H4160">
        <v>913</v>
      </c>
      <c r="I4160">
        <v>0</v>
      </c>
      <c r="J4160">
        <v>30</v>
      </c>
      <c r="K4160">
        <v>0</v>
      </c>
      <c r="L4160">
        <v>0</v>
      </c>
      <c r="M4160">
        <v>0</v>
      </c>
      <c r="N4160">
        <v>0</v>
      </c>
      <c r="O4160">
        <v>0</v>
      </c>
      <c r="P4160">
        <v>0</v>
      </c>
      <c r="Q4160">
        <v>0</v>
      </c>
      <c r="R4160">
        <v>0</v>
      </c>
      <c r="S4160">
        <v>0</v>
      </c>
      <c r="T4160">
        <v>0</v>
      </c>
      <c r="V4160">
        <v>0</v>
      </c>
      <c r="W4160">
        <v>943</v>
      </c>
    </row>
    <row r="4161" spans="1:23" x14ac:dyDescent="0.25">
      <c r="H4161">
        <v>703</v>
      </c>
    </row>
    <row r="4162" spans="1:23" x14ac:dyDescent="0.25">
      <c r="A4162">
        <v>2078</v>
      </c>
      <c r="B4162">
        <v>2323</v>
      </c>
      <c r="C4162" t="s">
        <v>5671</v>
      </c>
      <c r="D4162" t="s">
        <v>873</v>
      </c>
      <c r="E4162" t="s">
        <v>58</v>
      </c>
      <c r="F4162" t="s">
        <v>5672</v>
      </c>
      <c r="G4162" t="str">
        <f>"00094071"</f>
        <v>00094071</v>
      </c>
      <c r="H4162">
        <v>913</v>
      </c>
      <c r="I4162">
        <v>0</v>
      </c>
      <c r="J4162">
        <v>30</v>
      </c>
      <c r="K4162">
        <v>0</v>
      </c>
      <c r="L4162">
        <v>0</v>
      </c>
      <c r="M4162">
        <v>0</v>
      </c>
      <c r="N4162">
        <v>0</v>
      </c>
      <c r="O4162">
        <v>0</v>
      </c>
      <c r="P4162">
        <v>0</v>
      </c>
      <c r="Q4162">
        <v>0</v>
      </c>
      <c r="R4162">
        <v>0</v>
      </c>
      <c r="S4162">
        <v>0</v>
      </c>
      <c r="T4162">
        <v>0</v>
      </c>
      <c r="V4162">
        <v>0</v>
      </c>
      <c r="W4162">
        <v>943</v>
      </c>
    </row>
    <row r="4163" spans="1:23" x14ac:dyDescent="0.25">
      <c r="H4163" t="s">
        <v>26</v>
      </c>
    </row>
    <row r="4164" spans="1:23" x14ac:dyDescent="0.25">
      <c r="A4164">
        <v>2079</v>
      </c>
      <c r="B4164">
        <v>1324</v>
      </c>
      <c r="C4164" t="s">
        <v>5673</v>
      </c>
      <c r="D4164" t="s">
        <v>185</v>
      </c>
      <c r="E4164" t="s">
        <v>1147</v>
      </c>
      <c r="F4164" t="s">
        <v>5674</v>
      </c>
      <c r="G4164" t="str">
        <f>"00226632"</f>
        <v>00226632</v>
      </c>
      <c r="H4164">
        <v>913</v>
      </c>
      <c r="I4164">
        <v>0</v>
      </c>
      <c r="J4164">
        <v>30</v>
      </c>
      <c r="K4164">
        <v>0</v>
      </c>
      <c r="L4164">
        <v>0</v>
      </c>
      <c r="M4164">
        <v>0</v>
      </c>
      <c r="N4164">
        <v>0</v>
      </c>
      <c r="O4164">
        <v>0</v>
      </c>
      <c r="P4164">
        <v>0</v>
      </c>
      <c r="Q4164">
        <v>0</v>
      </c>
      <c r="R4164">
        <v>0</v>
      </c>
      <c r="S4164">
        <v>0</v>
      </c>
      <c r="T4164">
        <v>0</v>
      </c>
      <c r="V4164">
        <v>0</v>
      </c>
      <c r="W4164">
        <v>943</v>
      </c>
    </row>
    <row r="4165" spans="1:23" x14ac:dyDescent="0.25">
      <c r="H4165">
        <v>703</v>
      </c>
    </row>
    <row r="4166" spans="1:23" x14ac:dyDescent="0.25">
      <c r="A4166">
        <v>2080</v>
      </c>
      <c r="B4166">
        <v>1454</v>
      </c>
      <c r="C4166" t="s">
        <v>5675</v>
      </c>
      <c r="D4166" t="s">
        <v>1678</v>
      </c>
      <c r="E4166" t="s">
        <v>356</v>
      </c>
      <c r="F4166" t="s">
        <v>5676</v>
      </c>
      <c r="G4166" t="str">
        <f>"201504001287"</f>
        <v>201504001287</v>
      </c>
      <c r="H4166">
        <v>913</v>
      </c>
      <c r="I4166">
        <v>0</v>
      </c>
      <c r="J4166">
        <v>30</v>
      </c>
      <c r="K4166">
        <v>0</v>
      </c>
      <c r="L4166">
        <v>0</v>
      </c>
      <c r="M4166">
        <v>0</v>
      </c>
      <c r="N4166">
        <v>0</v>
      </c>
      <c r="O4166">
        <v>0</v>
      </c>
      <c r="P4166">
        <v>0</v>
      </c>
      <c r="Q4166">
        <v>0</v>
      </c>
      <c r="R4166">
        <v>0</v>
      </c>
      <c r="S4166">
        <v>0</v>
      </c>
      <c r="T4166">
        <v>0</v>
      </c>
      <c r="V4166">
        <v>0</v>
      </c>
      <c r="W4166">
        <v>943</v>
      </c>
    </row>
    <row r="4167" spans="1:23" x14ac:dyDescent="0.25">
      <c r="H4167">
        <v>703</v>
      </c>
    </row>
    <row r="4168" spans="1:23" x14ac:dyDescent="0.25">
      <c r="A4168">
        <v>2081</v>
      </c>
      <c r="B4168">
        <v>1440</v>
      </c>
      <c r="C4168" t="s">
        <v>5677</v>
      </c>
      <c r="D4168" t="s">
        <v>155</v>
      </c>
      <c r="E4168" t="s">
        <v>41</v>
      </c>
      <c r="F4168" t="s">
        <v>5678</v>
      </c>
      <c r="G4168" t="str">
        <f>"00089412"</f>
        <v>00089412</v>
      </c>
      <c r="H4168">
        <v>913</v>
      </c>
      <c r="I4168">
        <v>0</v>
      </c>
      <c r="J4168">
        <v>30</v>
      </c>
      <c r="K4168">
        <v>0</v>
      </c>
      <c r="L4168">
        <v>0</v>
      </c>
      <c r="M4168">
        <v>0</v>
      </c>
      <c r="N4168">
        <v>0</v>
      </c>
      <c r="O4168">
        <v>0</v>
      </c>
      <c r="P4168">
        <v>0</v>
      </c>
      <c r="Q4168">
        <v>0</v>
      </c>
      <c r="R4168">
        <v>0</v>
      </c>
      <c r="S4168">
        <v>0</v>
      </c>
      <c r="T4168">
        <v>0</v>
      </c>
      <c r="V4168">
        <v>0</v>
      </c>
      <c r="W4168">
        <v>943</v>
      </c>
    </row>
    <row r="4169" spans="1:23" x14ac:dyDescent="0.25">
      <c r="H4169" t="s">
        <v>70</v>
      </c>
    </row>
    <row r="4170" spans="1:23" x14ac:dyDescent="0.25">
      <c r="A4170">
        <v>2082</v>
      </c>
      <c r="B4170">
        <v>2334</v>
      </c>
      <c r="C4170" t="s">
        <v>5679</v>
      </c>
      <c r="D4170" t="s">
        <v>91</v>
      </c>
      <c r="E4170" t="s">
        <v>1734</v>
      </c>
      <c r="F4170" t="s">
        <v>5680</v>
      </c>
      <c r="G4170" t="str">
        <f>"201511034853"</f>
        <v>201511034853</v>
      </c>
      <c r="H4170">
        <v>715</v>
      </c>
      <c r="I4170">
        <v>150</v>
      </c>
      <c r="J4170">
        <v>0</v>
      </c>
      <c r="K4170">
        <v>0</v>
      </c>
      <c r="L4170">
        <v>0</v>
      </c>
      <c r="M4170">
        <v>0</v>
      </c>
      <c r="N4170">
        <v>0</v>
      </c>
      <c r="O4170">
        <v>0</v>
      </c>
      <c r="P4170">
        <v>0</v>
      </c>
      <c r="Q4170">
        <v>0</v>
      </c>
      <c r="R4170">
        <v>11</v>
      </c>
      <c r="S4170">
        <v>77</v>
      </c>
      <c r="T4170">
        <v>0</v>
      </c>
      <c r="V4170">
        <v>0</v>
      </c>
      <c r="W4170">
        <v>942</v>
      </c>
    </row>
    <row r="4171" spans="1:23" x14ac:dyDescent="0.25">
      <c r="H4171">
        <v>703</v>
      </c>
    </row>
    <row r="4172" spans="1:23" x14ac:dyDescent="0.25">
      <c r="A4172">
        <v>2083</v>
      </c>
      <c r="B4172">
        <v>1020</v>
      </c>
      <c r="C4172" t="s">
        <v>5681</v>
      </c>
      <c r="D4172" t="s">
        <v>91</v>
      </c>
      <c r="E4172" t="s">
        <v>79</v>
      </c>
      <c r="F4172" t="s">
        <v>5682</v>
      </c>
      <c r="G4172" t="str">
        <f>"201412003545"</f>
        <v>201412003545</v>
      </c>
      <c r="H4172" t="s">
        <v>1014</v>
      </c>
      <c r="I4172">
        <v>0</v>
      </c>
      <c r="J4172">
        <v>30</v>
      </c>
      <c r="K4172">
        <v>0</v>
      </c>
      <c r="L4172">
        <v>0</v>
      </c>
      <c r="M4172">
        <v>0</v>
      </c>
      <c r="N4172">
        <v>0</v>
      </c>
      <c r="O4172">
        <v>0</v>
      </c>
      <c r="P4172">
        <v>0</v>
      </c>
      <c r="Q4172">
        <v>0</v>
      </c>
      <c r="R4172">
        <v>5</v>
      </c>
      <c r="S4172">
        <v>35</v>
      </c>
      <c r="T4172">
        <v>0</v>
      </c>
      <c r="V4172">
        <v>0</v>
      </c>
      <c r="W4172" t="s">
        <v>5683</v>
      </c>
    </row>
    <row r="4173" spans="1:23" x14ac:dyDescent="0.25">
      <c r="H4173" t="s">
        <v>26</v>
      </c>
    </row>
    <row r="4174" spans="1:23" x14ac:dyDescent="0.25">
      <c r="A4174">
        <v>2084</v>
      </c>
      <c r="B4174">
        <v>1102</v>
      </c>
      <c r="C4174" t="s">
        <v>5626</v>
      </c>
      <c r="D4174" t="s">
        <v>105</v>
      </c>
      <c r="E4174" t="s">
        <v>41</v>
      </c>
      <c r="F4174" t="s">
        <v>5684</v>
      </c>
      <c r="G4174" t="str">
        <f>"201511015738"</f>
        <v>201511015738</v>
      </c>
      <c r="H4174">
        <v>759</v>
      </c>
      <c r="I4174">
        <v>150</v>
      </c>
      <c r="J4174">
        <v>30</v>
      </c>
      <c r="K4174">
        <v>0</v>
      </c>
      <c r="L4174">
        <v>0</v>
      </c>
      <c r="M4174">
        <v>0</v>
      </c>
      <c r="N4174">
        <v>0</v>
      </c>
      <c r="O4174">
        <v>0</v>
      </c>
      <c r="P4174">
        <v>0</v>
      </c>
      <c r="Q4174">
        <v>0</v>
      </c>
      <c r="R4174">
        <v>0</v>
      </c>
      <c r="S4174">
        <v>0</v>
      </c>
      <c r="T4174">
        <v>0</v>
      </c>
      <c r="V4174">
        <v>0</v>
      </c>
      <c r="W4174">
        <v>939</v>
      </c>
    </row>
    <row r="4175" spans="1:23" x14ac:dyDescent="0.25">
      <c r="H4175">
        <v>703</v>
      </c>
    </row>
    <row r="4176" spans="1:23" x14ac:dyDescent="0.25">
      <c r="A4176">
        <v>2085</v>
      </c>
      <c r="B4176">
        <v>611</v>
      </c>
      <c r="C4176" t="s">
        <v>4122</v>
      </c>
      <c r="D4176" t="s">
        <v>5685</v>
      </c>
      <c r="E4176" t="s">
        <v>227</v>
      </c>
      <c r="F4176" t="s">
        <v>5686</v>
      </c>
      <c r="G4176" t="str">
        <f>"00120943"</f>
        <v>00120943</v>
      </c>
      <c r="H4176">
        <v>715</v>
      </c>
      <c r="I4176">
        <v>0</v>
      </c>
      <c r="J4176">
        <v>0</v>
      </c>
      <c r="K4176">
        <v>70</v>
      </c>
      <c r="L4176">
        <v>0</v>
      </c>
      <c r="M4176">
        <v>0</v>
      </c>
      <c r="N4176">
        <v>0</v>
      </c>
      <c r="O4176">
        <v>0</v>
      </c>
      <c r="P4176">
        <v>0</v>
      </c>
      <c r="Q4176">
        <v>0</v>
      </c>
      <c r="R4176">
        <v>22</v>
      </c>
      <c r="S4176">
        <v>154</v>
      </c>
      <c r="T4176">
        <v>0</v>
      </c>
      <c r="V4176">
        <v>2</v>
      </c>
      <c r="W4176">
        <v>939</v>
      </c>
    </row>
    <row r="4177" spans="1:23" x14ac:dyDescent="0.25">
      <c r="H4177">
        <v>703</v>
      </c>
    </row>
    <row r="4178" spans="1:23" x14ac:dyDescent="0.25">
      <c r="A4178">
        <v>2086</v>
      </c>
      <c r="B4178">
        <v>1745</v>
      </c>
      <c r="C4178" t="s">
        <v>2548</v>
      </c>
      <c r="D4178" t="s">
        <v>219</v>
      </c>
      <c r="E4178" t="s">
        <v>105</v>
      </c>
      <c r="F4178" t="s">
        <v>5687</v>
      </c>
      <c r="G4178" t="str">
        <f>"00224965"</f>
        <v>00224965</v>
      </c>
      <c r="H4178" t="s">
        <v>5688</v>
      </c>
      <c r="I4178">
        <v>150</v>
      </c>
      <c r="J4178">
        <v>0</v>
      </c>
      <c r="K4178">
        <v>0</v>
      </c>
      <c r="L4178">
        <v>0</v>
      </c>
      <c r="M4178">
        <v>0</v>
      </c>
      <c r="N4178">
        <v>0</v>
      </c>
      <c r="O4178">
        <v>0</v>
      </c>
      <c r="P4178">
        <v>0</v>
      </c>
      <c r="Q4178">
        <v>0</v>
      </c>
      <c r="R4178">
        <v>0</v>
      </c>
      <c r="S4178">
        <v>0</v>
      </c>
      <c r="T4178">
        <v>0</v>
      </c>
      <c r="V4178">
        <v>0</v>
      </c>
      <c r="W4178" t="s">
        <v>5689</v>
      </c>
    </row>
    <row r="4179" spans="1:23" x14ac:dyDescent="0.25">
      <c r="H4179" t="s">
        <v>70</v>
      </c>
    </row>
    <row r="4180" spans="1:23" x14ac:dyDescent="0.25">
      <c r="A4180">
        <v>2087</v>
      </c>
      <c r="B4180">
        <v>1252</v>
      </c>
      <c r="C4180" t="s">
        <v>5690</v>
      </c>
      <c r="D4180" t="s">
        <v>76</v>
      </c>
      <c r="E4180" t="s">
        <v>1633</v>
      </c>
      <c r="F4180" t="s">
        <v>5691</v>
      </c>
      <c r="G4180" t="str">
        <f>"201511034103"</f>
        <v>201511034103</v>
      </c>
      <c r="H4180">
        <v>825</v>
      </c>
      <c r="I4180">
        <v>0</v>
      </c>
      <c r="J4180">
        <v>0</v>
      </c>
      <c r="K4180">
        <v>0</v>
      </c>
      <c r="L4180">
        <v>0</v>
      </c>
      <c r="M4180">
        <v>0</v>
      </c>
      <c r="N4180">
        <v>0</v>
      </c>
      <c r="O4180">
        <v>0</v>
      </c>
      <c r="P4180">
        <v>0</v>
      </c>
      <c r="Q4180">
        <v>0</v>
      </c>
      <c r="R4180">
        <v>16</v>
      </c>
      <c r="S4180">
        <v>112</v>
      </c>
      <c r="T4180">
        <v>0</v>
      </c>
      <c r="V4180">
        <v>0</v>
      </c>
      <c r="W4180">
        <v>937</v>
      </c>
    </row>
    <row r="4181" spans="1:23" x14ac:dyDescent="0.25">
      <c r="H4181">
        <v>703</v>
      </c>
    </row>
    <row r="4182" spans="1:23" x14ac:dyDescent="0.25">
      <c r="A4182">
        <v>2088</v>
      </c>
      <c r="B4182">
        <v>1744</v>
      </c>
      <c r="C4182" t="s">
        <v>5692</v>
      </c>
      <c r="D4182" t="s">
        <v>53</v>
      </c>
      <c r="E4182" t="s">
        <v>424</v>
      </c>
      <c r="F4182" t="s">
        <v>5693</v>
      </c>
      <c r="G4182" t="str">
        <f>"00222719"</f>
        <v>00222719</v>
      </c>
      <c r="H4182">
        <v>825</v>
      </c>
      <c r="I4182">
        <v>0</v>
      </c>
      <c r="J4182">
        <v>70</v>
      </c>
      <c r="K4182">
        <v>0</v>
      </c>
      <c r="L4182">
        <v>0</v>
      </c>
      <c r="M4182">
        <v>0</v>
      </c>
      <c r="N4182">
        <v>0</v>
      </c>
      <c r="O4182">
        <v>0</v>
      </c>
      <c r="P4182">
        <v>0</v>
      </c>
      <c r="Q4182">
        <v>0</v>
      </c>
      <c r="R4182">
        <v>6</v>
      </c>
      <c r="S4182">
        <v>42</v>
      </c>
      <c r="T4182">
        <v>0</v>
      </c>
      <c r="V4182">
        <v>0</v>
      </c>
      <c r="W4182">
        <v>937</v>
      </c>
    </row>
    <row r="4183" spans="1:23" x14ac:dyDescent="0.25">
      <c r="H4183" t="s">
        <v>26</v>
      </c>
    </row>
    <row r="4184" spans="1:23" x14ac:dyDescent="0.25">
      <c r="A4184">
        <v>2089</v>
      </c>
      <c r="B4184">
        <v>1229</v>
      </c>
      <c r="C4184" t="s">
        <v>5694</v>
      </c>
      <c r="D4184" t="s">
        <v>5056</v>
      </c>
      <c r="E4184" t="s">
        <v>303</v>
      </c>
      <c r="F4184" t="s">
        <v>5695</v>
      </c>
      <c r="G4184" t="str">
        <f>"00197888"</f>
        <v>00197888</v>
      </c>
      <c r="H4184">
        <v>880</v>
      </c>
      <c r="I4184">
        <v>0</v>
      </c>
      <c r="J4184">
        <v>0</v>
      </c>
      <c r="K4184">
        <v>0</v>
      </c>
      <c r="L4184">
        <v>0</v>
      </c>
      <c r="M4184">
        <v>0</v>
      </c>
      <c r="N4184">
        <v>0</v>
      </c>
      <c r="O4184">
        <v>0</v>
      </c>
      <c r="P4184">
        <v>0</v>
      </c>
      <c r="Q4184">
        <v>0</v>
      </c>
      <c r="R4184">
        <v>8</v>
      </c>
      <c r="S4184">
        <v>56</v>
      </c>
      <c r="T4184">
        <v>0</v>
      </c>
      <c r="V4184">
        <v>0</v>
      </c>
      <c r="W4184">
        <v>936</v>
      </c>
    </row>
    <row r="4185" spans="1:23" x14ac:dyDescent="0.25">
      <c r="H4185">
        <v>703</v>
      </c>
    </row>
    <row r="4186" spans="1:23" x14ac:dyDescent="0.25">
      <c r="A4186">
        <v>2090</v>
      </c>
      <c r="B4186">
        <v>2333</v>
      </c>
      <c r="C4186" t="s">
        <v>5696</v>
      </c>
      <c r="D4186" t="s">
        <v>5697</v>
      </c>
      <c r="E4186" t="s">
        <v>53</v>
      </c>
      <c r="F4186" t="s">
        <v>5698</v>
      </c>
      <c r="G4186" t="str">
        <f>"00043610"</f>
        <v>00043610</v>
      </c>
      <c r="H4186" t="s">
        <v>1238</v>
      </c>
      <c r="I4186">
        <v>0</v>
      </c>
      <c r="J4186">
        <v>50</v>
      </c>
      <c r="K4186">
        <v>0</v>
      </c>
      <c r="L4186">
        <v>0</v>
      </c>
      <c r="M4186">
        <v>0</v>
      </c>
      <c r="N4186">
        <v>0</v>
      </c>
      <c r="O4186">
        <v>0</v>
      </c>
      <c r="P4186">
        <v>0</v>
      </c>
      <c r="Q4186">
        <v>0</v>
      </c>
      <c r="R4186">
        <v>0</v>
      </c>
      <c r="S4186">
        <v>0</v>
      </c>
      <c r="T4186">
        <v>0</v>
      </c>
      <c r="V4186">
        <v>0</v>
      </c>
      <c r="W4186" t="s">
        <v>5699</v>
      </c>
    </row>
    <row r="4187" spans="1:23" x14ac:dyDescent="0.25">
      <c r="H4187">
        <v>703</v>
      </c>
    </row>
    <row r="4188" spans="1:23" x14ac:dyDescent="0.25">
      <c r="A4188">
        <v>2091</v>
      </c>
      <c r="B4188">
        <v>2544</v>
      </c>
      <c r="C4188" t="s">
        <v>5700</v>
      </c>
      <c r="D4188" t="s">
        <v>112</v>
      </c>
      <c r="E4188" t="s">
        <v>76</v>
      </c>
      <c r="F4188" t="s">
        <v>5701</v>
      </c>
      <c r="G4188" t="str">
        <f>"00192993"</f>
        <v>00192993</v>
      </c>
      <c r="H4188">
        <v>935</v>
      </c>
      <c r="I4188">
        <v>0</v>
      </c>
      <c r="J4188">
        <v>0</v>
      </c>
      <c r="K4188">
        <v>0</v>
      </c>
      <c r="L4188">
        <v>0</v>
      </c>
      <c r="M4188">
        <v>0</v>
      </c>
      <c r="N4188">
        <v>0</v>
      </c>
      <c r="O4188">
        <v>0</v>
      </c>
      <c r="P4188">
        <v>0</v>
      </c>
      <c r="Q4188">
        <v>0</v>
      </c>
      <c r="R4188">
        <v>0</v>
      </c>
      <c r="S4188">
        <v>0</v>
      </c>
      <c r="T4188">
        <v>0</v>
      </c>
      <c r="V4188">
        <v>0</v>
      </c>
      <c r="W4188">
        <v>935</v>
      </c>
    </row>
    <row r="4189" spans="1:23" x14ac:dyDescent="0.25">
      <c r="H4189" t="s">
        <v>26</v>
      </c>
    </row>
    <row r="4190" spans="1:23" x14ac:dyDescent="0.25">
      <c r="A4190">
        <v>2092</v>
      </c>
      <c r="B4190">
        <v>1901</v>
      </c>
      <c r="C4190" t="s">
        <v>5702</v>
      </c>
      <c r="D4190" t="s">
        <v>21</v>
      </c>
      <c r="E4190" t="s">
        <v>113</v>
      </c>
      <c r="F4190" t="s">
        <v>5703</v>
      </c>
      <c r="G4190" t="str">
        <f>"201410010234"</f>
        <v>201410010234</v>
      </c>
      <c r="H4190">
        <v>935</v>
      </c>
      <c r="I4190">
        <v>0</v>
      </c>
      <c r="J4190">
        <v>0</v>
      </c>
      <c r="K4190">
        <v>0</v>
      </c>
      <c r="L4190">
        <v>0</v>
      </c>
      <c r="M4190">
        <v>0</v>
      </c>
      <c r="N4190">
        <v>0</v>
      </c>
      <c r="O4190">
        <v>0</v>
      </c>
      <c r="P4190">
        <v>0</v>
      </c>
      <c r="Q4190">
        <v>0</v>
      </c>
      <c r="R4190">
        <v>0</v>
      </c>
      <c r="S4190">
        <v>0</v>
      </c>
      <c r="T4190">
        <v>0</v>
      </c>
      <c r="V4190">
        <v>0</v>
      </c>
      <c r="W4190">
        <v>935</v>
      </c>
    </row>
    <row r="4191" spans="1:23" x14ac:dyDescent="0.25">
      <c r="H4191">
        <v>703</v>
      </c>
    </row>
    <row r="4192" spans="1:23" x14ac:dyDescent="0.25">
      <c r="A4192">
        <v>2093</v>
      </c>
      <c r="B4192">
        <v>354</v>
      </c>
      <c r="C4192" t="s">
        <v>5704</v>
      </c>
      <c r="D4192" t="s">
        <v>4296</v>
      </c>
      <c r="E4192" t="s">
        <v>15</v>
      </c>
      <c r="F4192" t="s">
        <v>5705</v>
      </c>
      <c r="G4192" t="str">
        <f>"00019516"</f>
        <v>00019516</v>
      </c>
      <c r="H4192">
        <v>935</v>
      </c>
      <c r="I4192">
        <v>0</v>
      </c>
      <c r="J4192">
        <v>0</v>
      </c>
      <c r="K4192">
        <v>0</v>
      </c>
      <c r="L4192">
        <v>0</v>
      </c>
      <c r="M4192">
        <v>0</v>
      </c>
      <c r="N4192">
        <v>0</v>
      </c>
      <c r="O4192">
        <v>0</v>
      </c>
      <c r="P4192">
        <v>0</v>
      </c>
      <c r="Q4192">
        <v>0</v>
      </c>
      <c r="R4192">
        <v>0</v>
      </c>
      <c r="S4192">
        <v>0</v>
      </c>
      <c r="T4192">
        <v>0</v>
      </c>
      <c r="V4192">
        <v>0</v>
      </c>
      <c r="W4192">
        <v>935</v>
      </c>
    </row>
    <row r="4193" spans="1:23" x14ac:dyDescent="0.25">
      <c r="H4193" t="s">
        <v>70</v>
      </c>
    </row>
    <row r="4194" spans="1:23" x14ac:dyDescent="0.25">
      <c r="A4194">
        <v>2094</v>
      </c>
      <c r="B4194">
        <v>1291</v>
      </c>
      <c r="C4194" t="s">
        <v>5706</v>
      </c>
      <c r="D4194" t="s">
        <v>273</v>
      </c>
      <c r="E4194" t="s">
        <v>947</v>
      </c>
      <c r="F4194" t="s">
        <v>5707</v>
      </c>
      <c r="G4194" t="str">
        <f>"00015792"</f>
        <v>00015792</v>
      </c>
      <c r="H4194">
        <v>935</v>
      </c>
      <c r="I4194">
        <v>0</v>
      </c>
      <c r="J4194">
        <v>0</v>
      </c>
      <c r="K4194">
        <v>0</v>
      </c>
      <c r="L4194">
        <v>0</v>
      </c>
      <c r="M4194">
        <v>0</v>
      </c>
      <c r="N4194">
        <v>0</v>
      </c>
      <c r="O4194">
        <v>0</v>
      </c>
      <c r="P4194">
        <v>0</v>
      </c>
      <c r="Q4194">
        <v>0</v>
      </c>
      <c r="R4194">
        <v>0</v>
      </c>
      <c r="S4194">
        <v>0</v>
      </c>
      <c r="T4194">
        <v>0</v>
      </c>
      <c r="V4194">
        <v>2</v>
      </c>
      <c r="W4194">
        <v>935</v>
      </c>
    </row>
    <row r="4195" spans="1:23" x14ac:dyDescent="0.25">
      <c r="H4195">
        <v>703</v>
      </c>
    </row>
    <row r="4196" spans="1:23" x14ac:dyDescent="0.25">
      <c r="A4196">
        <v>2095</v>
      </c>
      <c r="B4196">
        <v>559</v>
      </c>
      <c r="C4196" t="s">
        <v>984</v>
      </c>
      <c r="D4196" t="s">
        <v>226</v>
      </c>
      <c r="E4196" t="s">
        <v>15</v>
      </c>
      <c r="F4196" t="s">
        <v>5708</v>
      </c>
      <c r="G4196" t="str">
        <f>"00142534"</f>
        <v>00142534</v>
      </c>
      <c r="H4196">
        <v>935</v>
      </c>
      <c r="I4196">
        <v>0</v>
      </c>
      <c r="J4196">
        <v>0</v>
      </c>
      <c r="K4196">
        <v>0</v>
      </c>
      <c r="L4196">
        <v>0</v>
      </c>
      <c r="M4196">
        <v>0</v>
      </c>
      <c r="N4196">
        <v>0</v>
      </c>
      <c r="O4196">
        <v>0</v>
      </c>
      <c r="P4196">
        <v>0</v>
      </c>
      <c r="Q4196">
        <v>0</v>
      </c>
      <c r="R4196">
        <v>0</v>
      </c>
      <c r="S4196">
        <v>0</v>
      </c>
      <c r="T4196">
        <v>0</v>
      </c>
      <c r="V4196">
        <v>0</v>
      </c>
      <c r="W4196">
        <v>935</v>
      </c>
    </row>
    <row r="4197" spans="1:23" x14ac:dyDescent="0.25">
      <c r="H4197">
        <v>703</v>
      </c>
    </row>
    <row r="4198" spans="1:23" x14ac:dyDescent="0.25">
      <c r="A4198">
        <v>2096</v>
      </c>
      <c r="B4198">
        <v>1103</v>
      </c>
      <c r="C4198" t="s">
        <v>5709</v>
      </c>
      <c r="D4198" t="s">
        <v>5710</v>
      </c>
      <c r="E4198" t="s">
        <v>41</v>
      </c>
      <c r="F4198" t="s">
        <v>5711</v>
      </c>
      <c r="G4198" t="str">
        <f>"201504005340"</f>
        <v>201504005340</v>
      </c>
      <c r="H4198">
        <v>935</v>
      </c>
      <c r="I4198">
        <v>0</v>
      </c>
      <c r="J4198">
        <v>0</v>
      </c>
      <c r="K4198">
        <v>0</v>
      </c>
      <c r="L4198">
        <v>0</v>
      </c>
      <c r="M4198">
        <v>0</v>
      </c>
      <c r="N4198">
        <v>0</v>
      </c>
      <c r="O4198">
        <v>0</v>
      </c>
      <c r="P4198">
        <v>0</v>
      </c>
      <c r="Q4198">
        <v>0</v>
      </c>
      <c r="R4198">
        <v>0</v>
      </c>
      <c r="S4198">
        <v>0</v>
      </c>
      <c r="T4198">
        <v>0</v>
      </c>
      <c r="V4198">
        <v>0</v>
      </c>
      <c r="W4198">
        <v>935</v>
      </c>
    </row>
    <row r="4199" spans="1:23" x14ac:dyDescent="0.25">
      <c r="H4199">
        <v>703</v>
      </c>
    </row>
    <row r="4200" spans="1:23" x14ac:dyDescent="0.25">
      <c r="A4200">
        <v>2097</v>
      </c>
      <c r="B4200">
        <v>3049</v>
      </c>
      <c r="C4200" t="s">
        <v>5712</v>
      </c>
      <c r="D4200" t="s">
        <v>194</v>
      </c>
      <c r="E4200" t="s">
        <v>482</v>
      </c>
      <c r="F4200" t="s">
        <v>5713</v>
      </c>
      <c r="G4200" t="str">
        <f>"201405002000"</f>
        <v>201405002000</v>
      </c>
      <c r="H4200">
        <v>935</v>
      </c>
      <c r="I4200">
        <v>0</v>
      </c>
      <c r="J4200">
        <v>0</v>
      </c>
      <c r="K4200">
        <v>0</v>
      </c>
      <c r="L4200">
        <v>0</v>
      </c>
      <c r="M4200">
        <v>0</v>
      </c>
      <c r="N4200">
        <v>0</v>
      </c>
      <c r="O4200">
        <v>0</v>
      </c>
      <c r="P4200">
        <v>0</v>
      </c>
      <c r="Q4200">
        <v>0</v>
      </c>
      <c r="R4200">
        <v>0</v>
      </c>
      <c r="S4200">
        <v>0</v>
      </c>
      <c r="T4200">
        <v>0</v>
      </c>
      <c r="V4200">
        <v>0</v>
      </c>
      <c r="W4200">
        <v>935</v>
      </c>
    </row>
    <row r="4201" spans="1:23" x14ac:dyDescent="0.25">
      <c r="H4201">
        <v>703</v>
      </c>
    </row>
    <row r="4202" spans="1:23" x14ac:dyDescent="0.25">
      <c r="A4202">
        <v>2098</v>
      </c>
      <c r="B4202">
        <v>140</v>
      </c>
      <c r="C4202" t="s">
        <v>5714</v>
      </c>
      <c r="D4202" t="s">
        <v>5715</v>
      </c>
      <c r="E4202" t="s">
        <v>424</v>
      </c>
      <c r="F4202" t="s">
        <v>5716</v>
      </c>
      <c r="G4202" t="str">
        <f>"201511029574"</f>
        <v>201511029574</v>
      </c>
      <c r="H4202">
        <v>935</v>
      </c>
      <c r="I4202">
        <v>0</v>
      </c>
      <c r="J4202">
        <v>0</v>
      </c>
      <c r="K4202">
        <v>0</v>
      </c>
      <c r="L4202">
        <v>0</v>
      </c>
      <c r="M4202">
        <v>0</v>
      </c>
      <c r="N4202">
        <v>0</v>
      </c>
      <c r="O4202">
        <v>0</v>
      </c>
      <c r="P4202">
        <v>0</v>
      </c>
      <c r="Q4202">
        <v>0</v>
      </c>
      <c r="R4202">
        <v>0</v>
      </c>
      <c r="S4202">
        <v>0</v>
      </c>
      <c r="T4202">
        <v>0</v>
      </c>
      <c r="V4202">
        <v>0</v>
      </c>
      <c r="W4202">
        <v>935</v>
      </c>
    </row>
    <row r="4203" spans="1:23" x14ac:dyDescent="0.25">
      <c r="H4203">
        <v>703</v>
      </c>
    </row>
    <row r="4204" spans="1:23" x14ac:dyDescent="0.25">
      <c r="A4204">
        <v>2099</v>
      </c>
      <c r="B4204">
        <v>2154</v>
      </c>
      <c r="C4204" t="s">
        <v>5717</v>
      </c>
      <c r="D4204" t="s">
        <v>5718</v>
      </c>
      <c r="E4204" t="s">
        <v>91</v>
      </c>
      <c r="F4204" t="s">
        <v>5719</v>
      </c>
      <c r="G4204" t="str">
        <f>"00221918"</f>
        <v>00221918</v>
      </c>
      <c r="H4204">
        <v>935</v>
      </c>
      <c r="I4204">
        <v>0</v>
      </c>
      <c r="J4204">
        <v>0</v>
      </c>
      <c r="K4204">
        <v>0</v>
      </c>
      <c r="L4204">
        <v>0</v>
      </c>
      <c r="M4204">
        <v>0</v>
      </c>
      <c r="N4204">
        <v>0</v>
      </c>
      <c r="O4204">
        <v>0</v>
      </c>
      <c r="P4204">
        <v>0</v>
      </c>
      <c r="Q4204">
        <v>0</v>
      </c>
      <c r="R4204">
        <v>0</v>
      </c>
      <c r="S4204">
        <v>0</v>
      </c>
      <c r="T4204">
        <v>0</v>
      </c>
      <c r="V4204">
        <v>0</v>
      </c>
      <c r="W4204">
        <v>935</v>
      </c>
    </row>
    <row r="4205" spans="1:23" x14ac:dyDescent="0.25">
      <c r="H4205">
        <v>703</v>
      </c>
    </row>
    <row r="4206" spans="1:23" x14ac:dyDescent="0.25">
      <c r="A4206">
        <v>2100</v>
      </c>
      <c r="B4206">
        <v>2086</v>
      </c>
      <c r="C4206" t="s">
        <v>5720</v>
      </c>
      <c r="D4206" t="s">
        <v>5721</v>
      </c>
      <c r="E4206" t="s">
        <v>113</v>
      </c>
      <c r="F4206" t="s">
        <v>5722</v>
      </c>
      <c r="G4206" t="str">
        <f>"00044968"</f>
        <v>00044968</v>
      </c>
      <c r="H4206">
        <v>935</v>
      </c>
      <c r="I4206">
        <v>0</v>
      </c>
      <c r="J4206">
        <v>0</v>
      </c>
      <c r="K4206">
        <v>0</v>
      </c>
      <c r="L4206">
        <v>0</v>
      </c>
      <c r="M4206">
        <v>0</v>
      </c>
      <c r="N4206">
        <v>0</v>
      </c>
      <c r="O4206">
        <v>0</v>
      </c>
      <c r="P4206">
        <v>0</v>
      </c>
      <c r="Q4206">
        <v>0</v>
      </c>
      <c r="R4206">
        <v>0</v>
      </c>
      <c r="S4206">
        <v>0</v>
      </c>
      <c r="T4206">
        <v>0</v>
      </c>
      <c r="V4206">
        <v>0</v>
      </c>
      <c r="W4206">
        <v>935</v>
      </c>
    </row>
    <row r="4207" spans="1:23" x14ac:dyDescent="0.25">
      <c r="H4207">
        <v>703</v>
      </c>
    </row>
    <row r="4208" spans="1:23" x14ac:dyDescent="0.25">
      <c r="A4208">
        <v>2101</v>
      </c>
      <c r="B4208">
        <v>3131</v>
      </c>
      <c r="C4208" t="s">
        <v>5723</v>
      </c>
      <c r="D4208" t="s">
        <v>273</v>
      </c>
      <c r="E4208" t="s">
        <v>58</v>
      </c>
      <c r="F4208" t="s">
        <v>5724</v>
      </c>
      <c r="G4208" t="str">
        <f>"00152036"</f>
        <v>00152036</v>
      </c>
      <c r="H4208">
        <v>715</v>
      </c>
      <c r="I4208">
        <v>150</v>
      </c>
      <c r="J4208">
        <v>0</v>
      </c>
      <c r="K4208">
        <v>0</v>
      </c>
      <c r="L4208">
        <v>0</v>
      </c>
      <c r="M4208">
        <v>0</v>
      </c>
      <c r="N4208">
        <v>0</v>
      </c>
      <c r="O4208">
        <v>0</v>
      </c>
      <c r="P4208">
        <v>0</v>
      </c>
      <c r="Q4208">
        <v>0</v>
      </c>
      <c r="R4208">
        <v>10</v>
      </c>
      <c r="S4208">
        <v>70</v>
      </c>
      <c r="T4208">
        <v>0</v>
      </c>
      <c r="V4208">
        <v>2</v>
      </c>
      <c r="W4208">
        <v>935</v>
      </c>
    </row>
    <row r="4209" spans="1:23" x14ac:dyDescent="0.25">
      <c r="H4209" t="s">
        <v>26</v>
      </c>
    </row>
    <row r="4210" spans="1:23" x14ac:dyDescent="0.25">
      <c r="A4210">
        <v>2102</v>
      </c>
      <c r="B4210">
        <v>625</v>
      </c>
      <c r="C4210" t="s">
        <v>5415</v>
      </c>
      <c r="D4210" t="s">
        <v>15</v>
      </c>
      <c r="E4210" t="s">
        <v>76</v>
      </c>
      <c r="F4210" t="s">
        <v>5725</v>
      </c>
      <c r="G4210" t="str">
        <f>"201604001697"</f>
        <v>201604001697</v>
      </c>
      <c r="H4210" t="s">
        <v>1377</v>
      </c>
      <c r="I4210">
        <v>0</v>
      </c>
      <c r="J4210">
        <v>0</v>
      </c>
      <c r="K4210">
        <v>0</v>
      </c>
      <c r="L4210">
        <v>0</v>
      </c>
      <c r="M4210">
        <v>0</v>
      </c>
      <c r="N4210">
        <v>0</v>
      </c>
      <c r="O4210">
        <v>0</v>
      </c>
      <c r="P4210">
        <v>0</v>
      </c>
      <c r="Q4210">
        <v>0</v>
      </c>
      <c r="R4210">
        <v>5</v>
      </c>
      <c r="S4210">
        <v>35</v>
      </c>
      <c r="T4210">
        <v>0</v>
      </c>
      <c r="V4210">
        <v>0</v>
      </c>
      <c r="W4210" t="s">
        <v>5726</v>
      </c>
    </row>
    <row r="4211" spans="1:23" x14ac:dyDescent="0.25">
      <c r="H4211" t="s">
        <v>26</v>
      </c>
    </row>
    <row r="4212" spans="1:23" x14ac:dyDescent="0.25">
      <c r="A4212">
        <v>2103</v>
      </c>
      <c r="B4212">
        <v>2853</v>
      </c>
      <c r="C4212" t="s">
        <v>5727</v>
      </c>
      <c r="D4212" t="s">
        <v>134</v>
      </c>
      <c r="E4212" t="s">
        <v>76</v>
      </c>
      <c r="F4212" t="s">
        <v>5728</v>
      </c>
      <c r="G4212" t="str">
        <f>"200801000099"</f>
        <v>200801000099</v>
      </c>
      <c r="H4212" t="s">
        <v>1014</v>
      </c>
      <c r="I4212">
        <v>0</v>
      </c>
      <c r="J4212">
        <v>30</v>
      </c>
      <c r="K4212">
        <v>0</v>
      </c>
      <c r="L4212">
        <v>0</v>
      </c>
      <c r="M4212">
        <v>30</v>
      </c>
      <c r="N4212">
        <v>0</v>
      </c>
      <c r="O4212">
        <v>0</v>
      </c>
      <c r="P4212">
        <v>0</v>
      </c>
      <c r="Q4212">
        <v>0</v>
      </c>
      <c r="R4212">
        <v>0</v>
      </c>
      <c r="S4212">
        <v>0</v>
      </c>
      <c r="T4212">
        <v>0</v>
      </c>
      <c r="V4212">
        <v>2</v>
      </c>
      <c r="W4212" t="s">
        <v>5729</v>
      </c>
    </row>
    <row r="4213" spans="1:23" x14ac:dyDescent="0.25">
      <c r="H4213" t="s">
        <v>70</v>
      </c>
    </row>
    <row r="4214" spans="1:23" x14ac:dyDescent="0.25">
      <c r="A4214">
        <v>2104</v>
      </c>
      <c r="B4214">
        <v>1166</v>
      </c>
      <c r="C4214" t="s">
        <v>5730</v>
      </c>
      <c r="D4214" t="s">
        <v>112</v>
      </c>
      <c r="E4214" t="s">
        <v>5731</v>
      </c>
      <c r="F4214" t="s">
        <v>5732</v>
      </c>
      <c r="G4214" t="str">
        <f>"201604000739"</f>
        <v>201604000739</v>
      </c>
      <c r="H4214" t="s">
        <v>3108</v>
      </c>
      <c r="I4214">
        <v>0</v>
      </c>
      <c r="J4214">
        <v>30</v>
      </c>
      <c r="K4214">
        <v>0</v>
      </c>
      <c r="L4214">
        <v>0</v>
      </c>
      <c r="M4214">
        <v>0</v>
      </c>
      <c r="N4214">
        <v>0</v>
      </c>
      <c r="O4214">
        <v>0</v>
      </c>
      <c r="P4214">
        <v>0</v>
      </c>
      <c r="Q4214">
        <v>0</v>
      </c>
      <c r="R4214">
        <v>20</v>
      </c>
      <c r="S4214">
        <v>140</v>
      </c>
      <c r="T4214">
        <v>0</v>
      </c>
      <c r="V4214">
        <v>0</v>
      </c>
      <c r="W4214" t="s">
        <v>5729</v>
      </c>
    </row>
    <row r="4215" spans="1:23" x14ac:dyDescent="0.25">
      <c r="H4215">
        <v>703</v>
      </c>
    </row>
    <row r="4216" spans="1:23" x14ac:dyDescent="0.25">
      <c r="A4216">
        <v>2105</v>
      </c>
      <c r="B4216">
        <v>936</v>
      </c>
      <c r="C4216" t="s">
        <v>5733</v>
      </c>
      <c r="D4216" t="s">
        <v>113</v>
      </c>
      <c r="E4216" t="s">
        <v>523</v>
      </c>
      <c r="F4216" t="s">
        <v>5734</v>
      </c>
      <c r="G4216" t="str">
        <f>"201412006027"</f>
        <v>201412006027</v>
      </c>
      <c r="H4216" t="s">
        <v>2186</v>
      </c>
      <c r="I4216">
        <v>0</v>
      </c>
      <c r="J4216">
        <v>70</v>
      </c>
      <c r="K4216">
        <v>0</v>
      </c>
      <c r="L4216">
        <v>0</v>
      </c>
      <c r="M4216">
        <v>0</v>
      </c>
      <c r="N4216">
        <v>0</v>
      </c>
      <c r="O4216">
        <v>0</v>
      </c>
      <c r="P4216">
        <v>0</v>
      </c>
      <c r="Q4216">
        <v>0</v>
      </c>
      <c r="R4216">
        <v>0</v>
      </c>
      <c r="S4216">
        <v>0</v>
      </c>
      <c r="T4216">
        <v>0</v>
      </c>
      <c r="V4216">
        <v>2</v>
      </c>
      <c r="W4216" t="s">
        <v>5735</v>
      </c>
    </row>
    <row r="4217" spans="1:23" x14ac:dyDescent="0.25">
      <c r="H4217" t="s">
        <v>70</v>
      </c>
    </row>
    <row r="4218" spans="1:23" x14ac:dyDescent="0.25">
      <c r="A4218">
        <v>2106</v>
      </c>
      <c r="B4218">
        <v>822</v>
      </c>
      <c r="C4218" t="s">
        <v>5736</v>
      </c>
      <c r="D4218" t="s">
        <v>1338</v>
      </c>
      <c r="E4218" t="s">
        <v>2198</v>
      </c>
      <c r="F4218" t="s">
        <v>5737</v>
      </c>
      <c r="G4218" t="str">
        <f>"00144750"</f>
        <v>00144750</v>
      </c>
      <c r="H4218" t="s">
        <v>2186</v>
      </c>
      <c r="I4218">
        <v>0</v>
      </c>
      <c r="J4218">
        <v>70</v>
      </c>
      <c r="K4218">
        <v>0</v>
      </c>
      <c r="L4218">
        <v>0</v>
      </c>
      <c r="M4218">
        <v>0</v>
      </c>
      <c r="N4218">
        <v>0</v>
      </c>
      <c r="O4218">
        <v>0</v>
      </c>
      <c r="P4218">
        <v>0</v>
      </c>
      <c r="Q4218">
        <v>0</v>
      </c>
      <c r="R4218">
        <v>0</v>
      </c>
      <c r="S4218">
        <v>0</v>
      </c>
      <c r="T4218">
        <v>0</v>
      </c>
      <c r="V4218">
        <v>0</v>
      </c>
      <c r="W4218" t="s">
        <v>5735</v>
      </c>
    </row>
    <row r="4219" spans="1:23" x14ac:dyDescent="0.25">
      <c r="H4219">
        <v>703</v>
      </c>
    </row>
    <row r="4220" spans="1:23" x14ac:dyDescent="0.25">
      <c r="A4220">
        <v>2107</v>
      </c>
      <c r="B4220">
        <v>714</v>
      </c>
      <c r="C4220" t="s">
        <v>4710</v>
      </c>
      <c r="D4220" t="s">
        <v>1670</v>
      </c>
      <c r="E4220" t="s">
        <v>58</v>
      </c>
      <c r="F4220" t="s">
        <v>5738</v>
      </c>
      <c r="G4220" t="str">
        <f>"00224852"</f>
        <v>00224852</v>
      </c>
      <c r="H4220">
        <v>902</v>
      </c>
      <c r="I4220">
        <v>0</v>
      </c>
      <c r="J4220">
        <v>30</v>
      </c>
      <c r="K4220">
        <v>0</v>
      </c>
      <c r="L4220">
        <v>0</v>
      </c>
      <c r="M4220">
        <v>0</v>
      </c>
      <c r="N4220">
        <v>0</v>
      </c>
      <c r="O4220">
        <v>0</v>
      </c>
      <c r="P4220">
        <v>0</v>
      </c>
      <c r="Q4220">
        <v>0</v>
      </c>
      <c r="R4220">
        <v>0</v>
      </c>
      <c r="S4220">
        <v>0</v>
      </c>
      <c r="T4220">
        <v>0</v>
      </c>
      <c r="V4220">
        <v>0</v>
      </c>
      <c r="W4220">
        <v>932</v>
      </c>
    </row>
    <row r="4221" spans="1:23" x14ac:dyDescent="0.25">
      <c r="H4221">
        <v>703</v>
      </c>
    </row>
    <row r="4222" spans="1:23" x14ac:dyDescent="0.25">
      <c r="A4222">
        <v>2108</v>
      </c>
      <c r="B4222">
        <v>2010</v>
      </c>
      <c r="C4222" t="s">
        <v>5739</v>
      </c>
      <c r="D4222" t="s">
        <v>5740</v>
      </c>
      <c r="E4222" t="s">
        <v>303</v>
      </c>
      <c r="F4222" t="s">
        <v>5741</v>
      </c>
      <c r="G4222" t="str">
        <f>"00142131"</f>
        <v>00142131</v>
      </c>
      <c r="H4222">
        <v>902</v>
      </c>
      <c r="I4222">
        <v>0</v>
      </c>
      <c r="J4222">
        <v>30</v>
      </c>
      <c r="K4222">
        <v>0</v>
      </c>
      <c r="L4222">
        <v>0</v>
      </c>
      <c r="M4222">
        <v>0</v>
      </c>
      <c r="N4222">
        <v>0</v>
      </c>
      <c r="O4222">
        <v>0</v>
      </c>
      <c r="P4222">
        <v>0</v>
      </c>
      <c r="Q4222">
        <v>0</v>
      </c>
      <c r="R4222">
        <v>0</v>
      </c>
      <c r="S4222">
        <v>0</v>
      </c>
      <c r="T4222">
        <v>0</v>
      </c>
      <c r="V4222">
        <v>1</v>
      </c>
      <c r="W4222">
        <v>932</v>
      </c>
    </row>
    <row r="4223" spans="1:23" x14ac:dyDescent="0.25">
      <c r="H4223">
        <v>703</v>
      </c>
    </row>
    <row r="4224" spans="1:23" x14ac:dyDescent="0.25">
      <c r="A4224">
        <v>2109</v>
      </c>
      <c r="B4224">
        <v>1230</v>
      </c>
      <c r="C4224" t="s">
        <v>4438</v>
      </c>
      <c r="D4224" t="s">
        <v>752</v>
      </c>
      <c r="E4224" t="s">
        <v>478</v>
      </c>
      <c r="F4224" t="s">
        <v>5742</v>
      </c>
      <c r="G4224" t="str">
        <f>"00223305"</f>
        <v>00223305</v>
      </c>
      <c r="H4224" t="s">
        <v>2715</v>
      </c>
      <c r="I4224">
        <v>0</v>
      </c>
      <c r="J4224">
        <v>30</v>
      </c>
      <c r="K4224">
        <v>0</v>
      </c>
      <c r="L4224">
        <v>0</v>
      </c>
      <c r="M4224">
        <v>0</v>
      </c>
      <c r="N4224">
        <v>0</v>
      </c>
      <c r="O4224">
        <v>0</v>
      </c>
      <c r="P4224">
        <v>0</v>
      </c>
      <c r="Q4224">
        <v>0</v>
      </c>
      <c r="R4224">
        <v>29</v>
      </c>
      <c r="S4224">
        <v>203</v>
      </c>
      <c r="T4224">
        <v>0</v>
      </c>
      <c r="V4224">
        <v>0</v>
      </c>
      <c r="W4224" t="s">
        <v>5743</v>
      </c>
    </row>
    <row r="4225" spans="1:23" x14ac:dyDescent="0.25">
      <c r="H4225">
        <v>703</v>
      </c>
    </row>
    <row r="4226" spans="1:23" x14ac:dyDescent="0.25">
      <c r="A4226">
        <v>2110</v>
      </c>
      <c r="B4226">
        <v>1158</v>
      </c>
      <c r="C4226" t="s">
        <v>3355</v>
      </c>
      <c r="D4226" t="s">
        <v>3292</v>
      </c>
      <c r="E4226" t="s">
        <v>91</v>
      </c>
      <c r="F4226" t="s">
        <v>5744</v>
      </c>
      <c r="G4226" t="str">
        <f>"00013007"</f>
        <v>00013007</v>
      </c>
      <c r="H4226">
        <v>902</v>
      </c>
      <c r="I4226">
        <v>0</v>
      </c>
      <c r="J4226">
        <v>0</v>
      </c>
      <c r="K4226">
        <v>0</v>
      </c>
      <c r="L4226">
        <v>0</v>
      </c>
      <c r="M4226">
        <v>0</v>
      </c>
      <c r="N4226">
        <v>0</v>
      </c>
      <c r="O4226">
        <v>0</v>
      </c>
      <c r="P4226">
        <v>0</v>
      </c>
      <c r="Q4226">
        <v>0</v>
      </c>
      <c r="R4226">
        <v>4</v>
      </c>
      <c r="S4226">
        <v>28</v>
      </c>
      <c r="T4226">
        <v>0</v>
      </c>
      <c r="V4226">
        <v>0</v>
      </c>
      <c r="W4226">
        <v>930</v>
      </c>
    </row>
    <row r="4227" spans="1:23" x14ac:dyDescent="0.25">
      <c r="H4227">
        <v>703</v>
      </c>
    </row>
    <row r="4228" spans="1:23" x14ac:dyDescent="0.25">
      <c r="A4228">
        <v>2111</v>
      </c>
      <c r="B4228">
        <v>1137</v>
      </c>
      <c r="C4228" t="s">
        <v>5745</v>
      </c>
      <c r="D4228" t="s">
        <v>87</v>
      </c>
      <c r="E4228" t="s">
        <v>68</v>
      </c>
      <c r="F4228" t="s">
        <v>5746</v>
      </c>
      <c r="G4228" t="str">
        <f>"00227294"</f>
        <v>00227294</v>
      </c>
      <c r="H4228" t="s">
        <v>1532</v>
      </c>
      <c r="I4228">
        <v>0</v>
      </c>
      <c r="J4228">
        <v>0</v>
      </c>
      <c r="K4228">
        <v>0</v>
      </c>
      <c r="L4228">
        <v>0</v>
      </c>
      <c r="M4228">
        <v>0</v>
      </c>
      <c r="N4228">
        <v>0</v>
      </c>
      <c r="O4228">
        <v>0</v>
      </c>
      <c r="P4228">
        <v>0</v>
      </c>
      <c r="Q4228">
        <v>0</v>
      </c>
      <c r="R4228">
        <v>0</v>
      </c>
      <c r="S4228">
        <v>0</v>
      </c>
      <c r="T4228">
        <v>0</v>
      </c>
      <c r="V4228">
        <v>0</v>
      </c>
      <c r="W4228" t="s">
        <v>1532</v>
      </c>
    </row>
    <row r="4229" spans="1:23" x14ac:dyDescent="0.25">
      <c r="H4229">
        <v>703</v>
      </c>
    </row>
    <row r="4230" spans="1:23" x14ac:dyDescent="0.25">
      <c r="A4230">
        <v>2112</v>
      </c>
      <c r="B4230">
        <v>601</v>
      </c>
      <c r="C4230" t="s">
        <v>5747</v>
      </c>
      <c r="D4230" t="s">
        <v>32</v>
      </c>
      <c r="E4230" t="s">
        <v>21</v>
      </c>
      <c r="F4230" t="s">
        <v>5748</v>
      </c>
      <c r="G4230" t="str">
        <f>"00117557"</f>
        <v>00117557</v>
      </c>
      <c r="H4230" t="s">
        <v>1532</v>
      </c>
      <c r="I4230">
        <v>0</v>
      </c>
      <c r="J4230">
        <v>0</v>
      </c>
      <c r="K4230">
        <v>0</v>
      </c>
      <c r="L4230">
        <v>0</v>
      </c>
      <c r="M4230">
        <v>0</v>
      </c>
      <c r="N4230">
        <v>0</v>
      </c>
      <c r="O4230">
        <v>0</v>
      </c>
      <c r="P4230">
        <v>0</v>
      </c>
      <c r="Q4230">
        <v>0</v>
      </c>
      <c r="R4230">
        <v>0</v>
      </c>
      <c r="S4230">
        <v>0</v>
      </c>
      <c r="T4230">
        <v>0</v>
      </c>
      <c r="V4230">
        <v>0</v>
      </c>
      <c r="W4230" t="s">
        <v>1532</v>
      </c>
    </row>
    <row r="4231" spans="1:23" x14ac:dyDescent="0.25">
      <c r="H4231" t="s">
        <v>70</v>
      </c>
    </row>
    <row r="4232" spans="1:23" x14ac:dyDescent="0.25">
      <c r="A4232">
        <v>2113</v>
      </c>
      <c r="B4232">
        <v>1586</v>
      </c>
      <c r="C4232" t="s">
        <v>5749</v>
      </c>
      <c r="D4232" t="s">
        <v>4975</v>
      </c>
      <c r="E4232" t="s">
        <v>523</v>
      </c>
      <c r="F4232" t="s">
        <v>5750</v>
      </c>
      <c r="G4232" t="str">
        <f>"00163701"</f>
        <v>00163701</v>
      </c>
      <c r="H4232">
        <v>869</v>
      </c>
      <c r="I4232">
        <v>0</v>
      </c>
      <c r="J4232">
        <v>30</v>
      </c>
      <c r="K4232">
        <v>30</v>
      </c>
      <c r="L4232">
        <v>0</v>
      </c>
      <c r="M4232">
        <v>0</v>
      </c>
      <c r="N4232">
        <v>0</v>
      </c>
      <c r="O4232">
        <v>0</v>
      </c>
      <c r="P4232">
        <v>0</v>
      </c>
      <c r="Q4232">
        <v>0</v>
      </c>
      <c r="R4232">
        <v>0</v>
      </c>
      <c r="S4232">
        <v>0</v>
      </c>
      <c r="T4232">
        <v>0</v>
      </c>
      <c r="V4232">
        <v>0</v>
      </c>
      <c r="W4232">
        <v>929</v>
      </c>
    </row>
    <row r="4233" spans="1:23" x14ac:dyDescent="0.25">
      <c r="H4233" t="s">
        <v>70</v>
      </c>
    </row>
    <row r="4234" spans="1:23" x14ac:dyDescent="0.25">
      <c r="A4234">
        <v>2114</v>
      </c>
      <c r="B4234">
        <v>770</v>
      </c>
      <c r="C4234" t="s">
        <v>5751</v>
      </c>
      <c r="D4234" t="s">
        <v>752</v>
      </c>
      <c r="E4234" t="s">
        <v>53</v>
      </c>
      <c r="F4234" t="s">
        <v>5752</v>
      </c>
      <c r="G4234" t="str">
        <f>"200802000041"</f>
        <v>200802000041</v>
      </c>
      <c r="H4234">
        <v>759</v>
      </c>
      <c r="I4234">
        <v>0</v>
      </c>
      <c r="J4234">
        <v>30</v>
      </c>
      <c r="K4234">
        <v>0</v>
      </c>
      <c r="L4234">
        <v>0</v>
      </c>
      <c r="M4234">
        <v>0</v>
      </c>
      <c r="N4234">
        <v>0</v>
      </c>
      <c r="O4234">
        <v>0</v>
      </c>
      <c r="P4234">
        <v>0</v>
      </c>
      <c r="Q4234">
        <v>0</v>
      </c>
      <c r="R4234">
        <v>20</v>
      </c>
      <c r="S4234">
        <v>140</v>
      </c>
      <c r="T4234">
        <v>0</v>
      </c>
      <c r="V4234">
        <v>0</v>
      </c>
      <c r="W4234">
        <v>929</v>
      </c>
    </row>
    <row r="4235" spans="1:23" x14ac:dyDescent="0.25">
      <c r="H4235">
        <v>703</v>
      </c>
    </row>
    <row r="4236" spans="1:23" x14ac:dyDescent="0.25">
      <c r="A4236">
        <v>2115</v>
      </c>
      <c r="B4236">
        <v>3046</v>
      </c>
      <c r="C4236" t="s">
        <v>5753</v>
      </c>
      <c r="D4236" t="s">
        <v>5754</v>
      </c>
      <c r="E4236" t="s">
        <v>135</v>
      </c>
      <c r="F4236" t="s">
        <v>5755</v>
      </c>
      <c r="G4236" t="str">
        <f>"00113270"</f>
        <v>00113270</v>
      </c>
      <c r="H4236">
        <v>858</v>
      </c>
      <c r="I4236">
        <v>0</v>
      </c>
      <c r="J4236">
        <v>70</v>
      </c>
      <c r="K4236">
        <v>0</v>
      </c>
      <c r="L4236">
        <v>0</v>
      </c>
      <c r="M4236">
        <v>0</v>
      </c>
      <c r="N4236">
        <v>0</v>
      </c>
      <c r="O4236">
        <v>0</v>
      </c>
      <c r="P4236">
        <v>0</v>
      </c>
      <c r="Q4236">
        <v>0</v>
      </c>
      <c r="R4236">
        <v>0</v>
      </c>
      <c r="S4236">
        <v>0</v>
      </c>
      <c r="T4236">
        <v>0</v>
      </c>
      <c r="V4236">
        <v>0</v>
      </c>
      <c r="W4236">
        <v>928</v>
      </c>
    </row>
    <row r="4237" spans="1:23" x14ac:dyDescent="0.25">
      <c r="H4237">
        <v>703</v>
      </c>
    </row>
    <row r="4238" spans="1:23" x14ac:dyDescent="0.25">
      <c r="A4238">
        <v>2116</v>
      </c>
      <c r="B4238">
        <v>2809</v>
      </c>
      <c r="C4238" t="s">
        <v>5756</v>
      </c>
      <c r="D4238" t="s">
        <v>1393</v>
      </c>
      <c r="E4238" t="s">
        <v>251</v>
      </c>
      <c r="F4238" t="s">
        <v>5757</v>
      </c>
      <c r="G4238" t="str">
        <f>"00007463"</f>
        <v>00007463</v>
      </c>
      <c r="H4238" t="s">
        <v>1212</v>
      </c>
      <c r="I4238">
        <v>0</v>
      </c>
      <c r="J4238">
        <v>50</v>
      </c>
      <c r="K4238">
        <v>0</v>
      </c>
      <c r="L4238">
        <v>30</v>
      </c>
      <c r="M4238">
        <v>0</v>
      </c>
      <c r="N4238">
        <v>0</v>
      </c>
      <c r="O4238">
        <v>0</v>
      </c>
      <c r="P4238">
        <v>0</v>
      </c>
      <c r="Q4238">
        <v>0</v>
      </c>
      <c r="R4238">
        <v>4</v>
      </c>
      <c r="S4238">
        <v>28</v>
      </c>
      <c r="T4238">
        <v>0</v>
      </c>
      <c r="V4238">
        <v>0</v>
      </c>
      <c r="W4238" t="s">
        <v>5758</v>
      </c>
    </row>
    <row r="4239" spans="1:23" x14ac:dyDescent="0.25">
      <c r="H4239" t="s">
        <v>70</v>
      </c>
    </row>
    <row r="4240" spans="1:23" x14ac:dyDescent="0.25">
      <c r="A4240">
        <v>2117</v>
      </c>
      <c r="B4240">
        <v>326</v>
      </c>
      <c r="C4240" t="s">
        <v>5759</v>
      </c>
      <c r="D4240" t="s">
        <v>1026</v>
      </c>
      <c r="E4240" t="s">
        <v>99</v>
      </c>
      <c r="F4240" t="s">
        <v>5760</v>
      </c>
      <c r="G4240" t="str">
        <f>"00226306"</f>
        <v>00226306</v>
      </c>
      <c r="H4240" t="s">
        <v>4829</v>
      </c>
      <c r="I4240">
        <v>0</v>
      </c>
      <c r="J4240">
        <v>0</v>
      </c>
      <c r="K4240">
        <v>0</v>
      </c>
      <c r="L4240">
        <v>0</v>
      </c>
      <c r="M4240">
        <v>0</v>
      </c>
      <c r="N4240">
        <v>0</v>
      </c>
      <c r="O4240">
        <v>0</v>
      </c>
      <c r="P4240">
        <v>0</v>
      </c>
      <c r="Q4240">
        <v>0</v>
      </c>
      <c r="R4240">
        <v>14</v>
      </c>
      <c r="S4240">
        <v>98</v>
      </c>
      <c r="T4240">
        <v>0</v>
      </c>
      <c r="V4240">
        <v>0</v>
      </c>
      <c r="W4240" t="s">
        <v>5761</v>
      </c>
    </row>
    <row r="4241" spans="1:23" x14ac:dyDescent="0.25">
      <c r="H4241">
        <v>703</v>
      </c>
    </row>
    <row r="4242" spans="1:23" x14ac:dyDescent="0.25">
      <c r="A4242">
        <v>2118</v>
      </c>
      <c r="B4242">
        <v>1024</v>
      </c>
      <c r="C4242" t="s">
        <v>2609</v>
      </c>
      <c r="D4242" t="s">
        <v>230</v>
      </c>
      <c r="E4242" t="s">
        <v>76</v>
      </c>
      <c r="F4242" t="s">
        <v>5762</v>
      </c>
      <c r="G4242" t="str">
        <f>"201511028050"</f>
        <v>201511028050</v>
      </c>
      <c r="H4242" t="s">
        <v>2785</v>
      </c>
      <c r="I4242">
        <v>0</v>
      </c>
      <c r="J4242">
        <v>50</v>
      </c>
      <c r="K4242">
        <v>0</v>
      </c>
      <c r="L4242">
        <v>0</v>
      </c>
      <c r="M4242">
        <v>0</v>
      </c>
      <c r="N4242">
        <v>0</v>
      </c>
      <c r="O4242">
        <v>0</v>
      </c>
      <c r="P4242">
        <v>0</v>
      </c>
      <c r="Q4242">
        <v>0</v>
      </c>
      <c r="R4242">
        <v>11</v>
      </c>
      <c r="S4242">
        <v>77</v>
      </c>
      <c r="T4242">
        <v>0</v>
      </c>
      <c r="V4242">
        <v>0</v>
      </c>
      <c r="W4242" t="s">
        <v>5763</v>
      </c>
    </row>
    <row r="4243" spans="1:23" x14ac:dyDescent="0.25">
      <c r="H4243">
        <v>703</v>
      </c>
    </row>
    <row r="4244" spans="1:23" x14ac:dyDescent="0.25">
      <c r="A4244">
        <v>2119</v>
      </c>
      <c r="B4244">
        <v>2309</v>
      </c>
      <c r="C4244" t="s">
        <v>5764</v>
      </c>
      <c r="D4244" t="s">
        <v>3061</v>
      </c>
      <c r="E4244" t="s">
        <v>53</v>
      </c>
      <c r="F4244" t="s">
        <v>5765</v>
      </c>
      <c r="G4244" t="str">
        <f>"201511012954"</f>
        <v>201511012954</v>
      </c>
      <c r="H4244" t="s">
        <v>1001</v>
      </c>
      <c r="I4244">
        <v>0</v>
      </c>
      <c r="J4244">
        <v>30</v>
      </c>
      <c r="K4244">
        <v>0</v>
      </c>
      <c r="L4244">
        <v>0</v>
      </c>
      <c r="M4244">
        <v>0</v>
      </c>
      <c r="N4244">
        <v>0</v>
      </c>
      <c r="O4244">
        <v>0</v>
      </c>
      <c r="P4244">
        <v>0</v>
      </c>
      <c r="Q4244">
        <v>0</v>
      </c>
      <c r="R4244">
        <v>0</v>
      </c>
      <c r="S4244">
        <v>0</v>
      </c>
      <c r="T4244">
        <v>0</v>
      </c>
      <c r="V4244">
        <v>0</v>
      </c>
      <c r="W4244" t="s">
        <v>5766</v>
      </c>
    </row>
    <row r="4245" spans="1:23" x14ac:dyDescent="0.25">
      <c r="H4245">
        <v>703</v>
      </c>
    </row>
    <row r="4246" spans="1:23" x14ac:dyDescent="0.25">
      <c r="A4246">
        <v>2120</v>
      </c>
      <c r="B4246">
        <v>876</v>
      </c>
      <c r="C4246" t="s">
        <v>5767</v>
      </c>
      <c r="D4246" t="s">
        <v>5768</v>
      </c>
      <c r="E4246" t="s">
        <v>2643</v>
      </c>
      <c r="F4246" t="s">
        <v>5769</v>
      </c>
      <c r="G4246" t="str">
        <f>"00009638"</f>
        <v>00009638</v>
      </c>
      <c r="H4246" t="s">
        <v>1001</v>
      </c>
      <c r="I4246">
        <v>0</v>
      </c>
      <c r="J4246">
        <v>30</v>
      </c>
      <c r="K4246">
        <v>0</v>
      </c>
      <c r="L4246">
        <v>0</v>
      </c>
      <c r="M4246">
        <v>0</v>
      </c>
      <c r="N4246">
        <v>0</v>
      </c>
      <c r="O4246">
        <v>0</v>
      </c>
      <c r="P4246">
        <v>0</v>
      </c>
      <c r="Q4246">
        <v>0</v>
      </c>
      <c r="R4246">
        <v>0</v>
      </c>
      <c r="S4246">
        <v>0</v>
      </c>
      <c r="T4246">
        <v>0</v>
      </c>
      <c r="V4246">
        <v>0</v>
      </c>
      <c r="W4246" t="s">
        <v>5766</v>
      </c>
    </row>
    <row r="4247" spans="1:23" x14ac:dyDescent="0.25">
      <c r="H4247">
        <v>703</v>
      </c>
    </row>
    <row r="4248" spans="1:23" x14ac:dyDescent="0.25">
      <c r="A4248">
        <v>2121</v>
      </c>
      <c r="B4248">
        <v>697</v>
      </c>
      <c r="C4248" t="s">
        <v>5770</v>
      </c>
      <c r="D4248" t="s">
        <v>67</v>
      </c>
      <c r="E4248" t="s">
        <v>15</v>
      </c>
      <c r="F4248" t="s">
        <v>5771</v>
      </c>
      <c r="G4248" t="str">
        <f>"00229371"</f>
        <v>00229371</v>
      </c>
      <c r="H4248">
        <v>825</v>
      </c>
      <c r="I4248">
        <v>0</v>
      </c>
      <c r="J4248">
        <v>30</v>
      </c>
      <c r="K4248">
        <v>70</v>
      </c>
      <c r="L4248">
        <v>0</v>
      </c>
      <c r="M4248">
        <v>0</v>
      </c>
      <c r="N4248">
        <v>0</v>
      </c>
      <c r="O4248">
        <v>0</v>
      </c>
      <c r="P4248">
        <v>0</v>
      </c>
      <c r="Q4248">
        <v>0</v>
      </c>
      <c r="R4248">
        <v>0</v>
      </c>
      <c r="S4248">
        <v>0</v>
      </c>
      <c r="T4248">
        <v>0</v>
      </c>
      <c r="V4248">
        <v>0</v>
      </c>
      <c r="W4248">
        <v>925</v>
      </c>
    </row>
    <row r="4249" spans="1:23" x14ac:dyDescent="0.25">
      <c r="H4249" t="s">
        <v>70</v>
      </c>
    </row>
    <row r="4250" spans="1:23" x14ac:dyDescent="0.25">
      <c r="A4250">
        <v>2122</v>
      </c>
      <c r="B4250">
        <v>708</v>
      </c>
      <c r="C4250" t="s">
        <v>5772</v>
      </c>
      <c r="D4250" t="s">
        <v>14</v>
      </c>
      <c r="E4250" t="s">
        <v>68</v>
      </c>
      <c r="F4250" t="s">
        <v>5773</v>
      </c>
      <c r="G4250" t="str">
        <f>"00103646"</f>
        <v>00103646</v>
      </c>
      <c r="H4250">
        <v>825</v>
      </c>
      <c r="I4250">
        <v>0</v>
      </c>
      <c r="J4250">
        <v>70</v>
      </c>
      <c r="K4250">
        <v>0</v>
      </c>
      <c r="L4250">
        <v>0</v>
      </c>
      <c r="M4250">
        <v>0</v>
      </c>
      <c r="N4250">
        <v>30</v>
      </c>
      <c r="O4250">
        <v>0</v>
      </c>
      <c r="P4250">
        <v>0</v>
      </c>
      <c r="Q4250">
        <v>0</v>
      </c>
      <c r="R4250">
        <v>0</v>
      </c>
      <c r="S4250">
        <v>0</v>
      </c>
      <c r="T4250">
        <v>0</v>
      </c>
      <c r="V4250">
        <v>1</v>
      </c>
      <c r="W4250">
        <v>925</v>
      </c>
    </row>
    <row r="4251" spans="1:23" x14ac:dyDescent="0.25">
      <c r="H4251" t="s">
        <v>26</v>
      </c>
    </row>
    <row r="4252" spans="1:23" x14ac:dyDescent="0.25">
      <c r="A4252">
        <v>2123</v>
      </c>
      <c r="B4252">
        <v>1435</v>
      </c>
      <c r="C4252" t="s">
        <v>5774</v>
      </c>
      <c r="D4252" t="s">
        <v>1670</v>
      </c>
      <c r="E4252" t="s">
        <v>76</v>
      </c>
      <c r="F4252" t="s">
        <v>5775</v>
      </c>
      <c r="G4252" t="str">
        <f>"00224025"</f>
        <v>00224025</v>
      </c>
      <c r="H4252">
        <v>825</v>
      </c>
      <c r="I4252">
        <v>0</v>
      </c>
      <c r="J4252">
        <v>30</v>
      </c>
      <c r="K4252">
        <v>0</v>
      </c>
      <c r="L4252">
        <v>70</v>
      </c>
      <c r="M4252">
        <v>0</v>
      </c>
      <c r="N4252">
        <v>0</v>
      </c>
      <c r="O4252">
        <v>0</v>
      </c>
      <c r="P4252">
        <v>0</v>
      </c>
      <c r="Q4252">
        <v>0</v>
      </c>
      <c r="R4252">
        <v>0</v>
      </c>
      <c r="S4252">
        <v>0</v>
      </c>
      <c r="T4252">
        <v>0</v>
      </c>
      <c r="V4252">
        <v>0</v>
      </c>
      <c r="W4252">
        <v>925</v>
      </c>
    </row>
    <row r="4253" spans="1:23" x14ac:dyDescent="0.25">
      <c r="H4253" t="s">
        <v>70</v>
      </c>
    </row>
    <row r="4254" spans="1:23" x14ac:dyDescent="0.25">
      <c r="A4254">
        <v>2124</v>
      </c>
      <c r="B4254">
        <v>2815</v>
      </c>
      <c r="C4254" t="s">
        <v>5776</v>
      </c>
      <c r="D4254" t="s">
        <v>41</v>
      </c>
      <c r="E4254" t="s">
        <v>2180</v>
      </c>
      <c r="F4254" t="s">
        <v>5777</v>
      </c>
      <c r="G4254" t="str">
        <f>"201411000892"</f>
        <v>201411000892</v>
      </c>
      <c r="H4254" t="s">
        <v>902</v>
      </c>
      <c r="I4254">
        <v>0</v>
      </c>
      <c r="J4254">
        <v>0</v>
      </c>
      <c r="K4254">
        <v>0</v>
      </c>
      <c r="L4254">
        <v>0</v>
      </c>
      <c r="M4254">
        <v>0</v>
      </c>
      <c r="N4254">
        <v>0</v>
      </c>
      <c r="O4254">
        <v>0</v>
      </c>
      <c r="P4254">
        <v>0</v>
      </c>
      <c r="Q4254">
        <v>0</v>
      </c>
      <c r="R4254">
        <v>5</v>
      </c>
      <c r="S4254">
        <v>35</v>
      </c>
      <c r="T4254">
        <v>0</v>
      </c>
      <c r="V4254">
        <v>0</v>
      </c>
      <c r="W4254" t="s">
        <v>5778</v>
      </c>
    </row>
    <row r="4255" spans="1:23" x14ac:dyDescent="0.25">
      <c r="H4255">
        <v>703</v>
      </c>
    </row>
    <row r="4256" spans="1:23" x14ac:dyDescent="0.25">
      <c r="A4256">
        <v>2125</v>
      </c>
      <c r="B4256">
        <v>2390</v>
      </c>
      <c r="C4256" t="s">
        <v>590</v>
      </c>
      <c r="D4256" t="s">
        <v>46</v>
      </c>
      <c r="E4256" t="s">
        <v>227</v>
      </c>
      <c r="F4256" t="s">
        <v>5779</v>
      </c>
      <c r="G4256" t="str">
        <f>"00079050"</f>
        <v>00079050</v>
      </c>
      <c r="H4256">
        <v>616</v>
      </c>
      <c r="I4256">
        <v>0</v>
      </c>
      <c r="J4256">
        <v>0</v>
      </c>
      <c r="K4256">
        <v>0</v>
      </c>
      <c r="L4256">
        <v>0</v>
      </c>
      <c r="M4256">
        <v>0</v>
      </c>
      <c r="N4256">
        <v>0</v>
      </c>
      <c r="O4256">
        <v>0</v>
      </c>
      <c r="P4256">
        <v>0</v>
      </c>
      <c r="Q4256">
        <v>0</v>
      </c>
      <c r="R4256">
        <v>44</v>
      </c>
      <c r="S4256">
        <v>308</v>
      </c>
      <c r="T4256">
        <v>0</v>
      </c>
      <c r="V4256">
        <v>0</v>
      </c>
      <c r="W4256">
        <v>924</v>
      </c>
    </row>
    <row r="4257" spans="1:23" x14ac:dyDescent="0.25">
      <c r="H4257">
        <v>703</v>
      </c>
    </row>
    <row r="4258" spans="1:23" x14ac:dyDescent="0.25">
      <c r="A4258">
        <v>2126</v>
      </c>
      <c r="B4258">
        <v>865</v>
      </c>
      <c r="C4258" t="s">
        <v>5780</v>
      </c>
      <c r="D4258" t="s">
        <v>135</v>
      </c>
      <c r="E4258" t="s">
        <v>5781</v>
      </c>
      <c r="F4258" t="s">
        <v>5782</v>
      </c>
      <c r="G4258" t="str">
        <f>"00140337"</f>
        <v>00140337</v>
      </c>
      <c r="H4258" t="s">
        <v>5783</v>
      </c>
      <c r="I4258">
        <v>0</v>
      </c>
      <c r="J4258">
        <v>30</v>
      </c>
      <c r="K4258">
        <v>0</v>
      </c>
      <c r="L4258">
        <v>0</v>
      </c>
      <c r="M4258">
        <v>0</v>
      </c>
      <c r="N4258">
        <v>0</v>
      </c>
      <c r="O4258">
        <v>0</v>
      </c>
      <c r="P4258">
        <v>0</v>
      </c>
      <c r="Q4258">
        <v>0</v>
      </c>
      <c r="R4258">
        <v>42</v>
      </c>
      <c r="S4258">
        <v>294</v>
      </c>
      <c r="T4258">
        <v>0</v>
      </c>
      <c r="V4258">
        <v>0</v>
      </c>
      <c r="W4258" t="s">
        <v>5784</v>
      </c>
    </row>
    <row r="4259" spans="1:23" x14ac:dyDescent="0.25">
      <c r="H4259">
        <v>703</v>
      </c>
    </row>
    <row r="4260" spans="1:23" x14ac:dyDescent="0.25">
      <c r="A4260">
        <v>2127</v>
      </c>
      <c r="B4260">
        <v>1140</v>
      </c>
      <c r="C4260" t="s">
        <v>818</v>
      </c>
      <c r="D4260" t="s">
        <v>798</v>
      </c>
      <c r="E4260" t="s">
        <v>4549</v>
      </c>
      <c r="F4260" t="s">
        <v>5785</v>
      </c>
      <c r="G4260" t="str">
        <f>"200903000432"</f>
        <v>200903000432</v>
      </c>
      <c r="H4260" t="s">
        <v>1359</v>
      </c>
      <c r="I4260">
        <v>0</v>
      </c>
      <c r="J4260">
        <v>70</v>
      </c>
      <c r="K4260">
        <v>0</v>
      </c>
      <c r="L4260">
        <v>0</v>
      </c>
      <c r="M4260">
        <v>0</v>
      </c>
      <c r="N4260">
        <v>0</v>
      </c>
      <c r="O4260">
        <v>0</v>
      </c>
      <c r="P4260">
        <v>0</v>
      </c>
      <c r="Q4260">
        <v>0</v>
      </c>
      <c r="R4260">
        <v>0</v>
      </c>
      <c r="S4260">
        <v>0</v>
      </c>
      <c r="T4260">
        <v>0</v>
      </c>
      <c r="V4260">
        <v>1</v>
      </c>
      <c r="W4260" t="s">
        <v>5786</v>
      </c>
    </row>
    <row r="4261" spans="1:23" x14ac:dyDescent="0.25">
      <c r="H4261">
        <v>703</v>
      </c>
    </row>
    <row r="4262" spans="1:23" x14ac:dyDescent="0.25">
      <c r="A4262">
        <v>2128</v>
      </c>
      <c r="B4262">
        <v>2232</v>
      </c>
      <c r="C4262" t="s">
        <v>5787</v>
      </c>
      <c r="D4262" t="s">
        <v>14</v>
      </c>
      <c r="E4262" t="s">
        <v>15</v>
      </c>
      <c r="F4262" t="s">
        <v>5788</v>
      </c>
      <c r="G4262" t="str">
        <f>"00185969"</f>
        <v>00185969</v>
      </c>
      <c r="H4262">
        <v>660</v>
      </c>
      <c r="I4262">
        <v>150</v>
      </c>
      <c r="J4262">
        <v>0</v>
      </c>
      <c r="K4262">
        <v>0</v>
      </c>
      <c r="L4262">
        <v>0</v>
      </c>
      <c r="M4262">
        <v>0</v>
      </c>
      <c r="N4262">
        <v>0</v>
      </c>
      <c r="O4262">
        <v>0</v>
      </c>
      <c r="P4262">
        <v>0</v>
      </c>
      <c r="Q4262">
        <v>0</v>
      </c>
      <c r="R4262">
        <v>16</v>
      </c>
      <c r="S4262">
        <v>112</v>
      </c>
      <c r="T4262">
        <v>0</v>
      </c>
      <c r="V4262">
        <v>0</v>
      </c>
      <c r="W4262">
        <v>922</v>
      </c>
    </row>
    <row r="4263" spans="1:23" x14ac:dyDescent="0.25">
      <c r="H4263">
        <v>703</v>
      </c>
    </row>
    <row r="4264" spans="1:23" x14ac:dyDescent="0.25">
      <c r="A4264">
        <v>2129</v>
      </c>
      <c r="B4264">
        <v>69</v>
      </c>
      <c r="C4264" t="s">
        <v>3818</v>
      </c>
      <c r="D4264" t="s">
        <v>32</v>
      </c>
      <c r="E4264" t="s">
        <v>53</v>
      </c>
      <c r="F4264" t="s">
        <v>5789</v>
      </c>
      <c r="G4264" t="str">
        <f>"201511018077"</f>
        <v>201511018077</v>
      </c>
      <c r="H4264">
        <v>770</v>
      </c>
      <c r="I4264">
        <v>150</v>
      </c>
      <c r="J4264">
        <v>0</v>
      </c>
      <c r="K4264">
        <v>0</v>
      </c>
      <c r="L4264">
        <v>0</v>
      </c>
      <c r="M4264">
        <v>0</v>
      </c>
      <c r="N4264">
        <v>0</v>
      </c>
      <c r="O4264">
        <v>0</v>
      </c>
      <c r="P4264">
        <v>0</v>
      </c>
      <c r="Q4264">
        <v>0</v>
      </c>
      <c r="R4264">
        <v>0</v>
      </c>
      <c r="S4264">
        <v>0</v>
      </c>
      <c r="T4264">
        <v>0</v>
      </c>
      <c r="V4264">
        <v>0</v>
      </c>
      <c r="W4264">
        <v>920</v>
      </c>
    </row>
    <row r="4265" spans="1:23" x14ac:dyDescent="0.25">
      <c r="H4265">
        <v>703</v>
      </c>
    </row>
    <row r="4266" spans="1:23" x14ac:dyDescent="0.25">
      <c r="A4266">
        <v>2130</v>
      </c>
      <c r="B4266">
        <v>267</v>
      </c>
      <c r="C4266" t="s">
        <v>5790</v>
      </c>
      <c r="D4266" t="s">
        <v>5791</v>
      </c>
      <c r="E4266" t="s">
        <v>113</v>
      </c>
      <c r="F4266" t="s">
        <v>5792</v>
      </c>
      <c r="G4266" t="str">
        <f>"00221333"</f>
        <v>00221333</v>
      </c>
      <c r="H4266" t="s">
        <v>2431</v>
      </c>
      <c r="I4266">
        <v>0</v>
      </c>
      <c r="J4266">
        <v>70</v>
      </c>
      <c r="K4266">
        <v>0</v>
      </c>
      <c r="L4266">
        <v>0</v>
      </c>
      <c r="M4266">
        <v>0</v>
      </c>
      <c r="N4266">
        <v>0</v>
      </c>
      <c r="O4266">
        <v>0</v>
      </c>
      <c r="P4266">
        <v>0</v>
      </c>
      <c r="Q4266">
        <v>0</v>
      </c>
      <c r="R4266">
        <v>20</v>
      </c>
      <c r="S4266">
        <v>140</v>
      </c>
      <c r="T4266">
        <v>0</v>
      </c>
      <c r="V4266">
        <v>0</v>
      </c>
      <c r="W4266" t="s">
        <v>5793</v>
      </c>
    </row>
    <row r="4267" spans="1:23" x14ac:dyDescent="0.25">
      <c r="H4267">
        <v>703</v>
      </c>
    </row>
    <row r="4268" spans="1:23" x14ac:dyDescent="0.25">
      <c r="A4268">
        <v>2131</v>
      </c>
      <c r="B4268">
        <v>8</v>
      </c>
      <c r="C4268" t="s">
        <v>5794</v>
      </c>
      <c r="D4268" t="s">
        <v>91</v>
      </c>
      <c r="E4268" t="s">
        <v>15</v>
      </c>
      <c r="F4268" t="s">
        <v>5795</v>
      </c>
      <c r="G4268" t="str">
        <f>"00012699"</f>
        <v>00012699</v>
      </c>
      <c r="H4268">
        <v>869</v>
      </c>
      <c r="I4268">
        <v>0</v>
      </c>
      <c r="J4268">
        <v>50</v>
      </c>
      <c r="K4268">
        <v>0</v>
      </c>
      <c r="L4268">
        <v>0</v>
      </c>
      <c r="M4268">
        <v>0</v>
      </c>
      <c r="N4268">
        <v>0</v>
      </c>
      <c r="O4268">
        <v>0</v>
      </c>
      <c r="P4268">
        <v>0</v>
      </c>
      <c r="Q4268">
        <v>0</v>
      </c>
      <c r="R4268">
        <v>0</v>
      </c>
      <c r="S4268">
        <v>0</v>
      </c>
      <c r="T4268">
        <v>0</v>
      </c>
      <c r="V4268">
        <v>0</v>
      </c>
      <c r="W4268">
        <v>919</v>
      </c>
    </row>
    <row r="4269" spans="1:23" x14ac:dyDescent="0.25">
      <c r="H4269">
        <v>703</v>
      </c>
    </row>
    <row r="4270" spans="1:23" x14ac:dyDescent="0.25">
      <c r="A4270">
        <v>2132</v>
      </c>
      <c r="B4270">
        <v>736</v>
      </c>
      <c r="C4270" t="s">
        <v>5796</v>
      </c>
      <c r="D4270" t="s">
        <v>5754</v>
      </c>
      <c r="E4270" t="s">
        <v>113</v>
      </c>
      <c r="F4270" t="s">
        <v>5797</v>
      </c>
      <c r="G4270" t="str">
        <f>"201406011304"</f>
        <v>201406011304</v>
      </c>
      <c r="H4270">
        <v>627</v>
      </c>
      <c r="I4270">
        <v>150</v>
      </c>
      <c r="J4270">
        <v>30</v>
      </c>
      <c r="K4270">
        <v>0</v>
      </c>
      <c r="L4270">
        <v>0</v>
      </c>
      <c r="M4270">
        <v>0</v>
      </c>
      <c r="N4270">
        <v>0</v>
      </c>
      <c r="O4270">
        <v>0</v>
      </c>
      <c r="P4270">
        <v>0</v>
      </c>
      <c r="Q4270">
        <v>0</v>
      </c>
      <c r="R4270">
        <v>16</v>
      </c>
      <c r="S4270">
        <v>112</v>
      </c>
      <c r="T4270">
        <v>0</v>
      </c>
      <c r="V4270">
        <v>0</v>
      </c>
      <c r="W4270">
        <v>919</v>
      </c>
    </row>
    <row r="4271" spans="1:23" x14ac:dyDescent="0.25">
      <c r="H4271">
        <v>703</v>
      </c>
    </row>
    <row r="4272" spans="1:23" x14ac:dyDescent="0.25">
      <c r="A4272">
        <v>2133</v>
      </c>
      <c r="B4272">
        <v>1613</v>
      </c>
      <c r="C4272" t="s">
        <v>728</v>
      </c>
      <c r="D4272" t="s">
        <v>20</v>
      </c>
      <c r="E4272" t="s">
        <v>322</v>
      </c>
      <c r="F4272" t="s">
        <v>5798</v>
      </c>
      <c r="G4272" t="str">
        <f>"201511029180"</f>
        <v>201511029180</v>
      </c>
      <c r="H4272" t="s">
        <v>840</v>
      </c>
      <c r="I4272">
        <v>0</v>
      </c>
      <c r="J4272">
        <v>0</v>
      </c>
      <c r="K4272">
        <v>0</v>
      </c>
      <c r="L4272">
        <v>0</v>
      </c>
      <c r="M4272">
        <v>0</v>
      </c>
      <c r="N4272">
        <v>0</v>
      </c>
      <c r="O4272">
        <v>0</v>
      </c>
      <c r="P4272">
        <v>0</v>
      </c>
      <c r="Q4272">
        <v>0</v>
      </c>
      <c r="R4272">
        <v>0</v>
      </c>
      <c r="S4272">
        <v>0</v>
      </c>
      <c r="T4272">
        <v>0</v>
      </c>
      <c r="V4272">
        <v>0</v>
      </c>
      <c r="W4272" t="s">
        <v>840</v>
      </c>
    </row>
    <row r="4273" spans="1:23" x14ac:dyDescent="0.25">
      <c r="H4273">
        <v>703</v>
      </c>
    </row>
    <row r="4274" spans="1:23" x14ac:dyDescent="0.25">
      <c r="A4274">
        <v>2134</v>
      </c>
      <c r="B4274">
        <v>528</v>
      </c>
      <c r="C4274" t="s">
        <v>5799</v>
      </c>
      <c r="D4274" t="s">
        <v>185</v>
      </c>
      <c r="E4274" t="s">
        <v>91</v>
      </c>
      <c r="F4274" t="s">
        <v>5800</v>
      </c>
      <c r="G4274" t="str">
        <f>"201412004958"</f>
        <v>201412004958</v>
      </c>
      <c r="H4274" t="s">
        <v>2715</v>
      </c>
      <c r="I4274">
        <v>0</v>
      </c>
      <c r="J4274">
        <v>30</v>
      </c>
      <c r="K4274">
        <v>0</v>
      </c>
      <c r="L4274">
        <v>0</v>
      </c>
      <c r="M4274">
        <v>0</v>
      </c>
      <c r="N4274">
        <v>0</v>
      </c>
      <c r="O4274">
        <v>0</v>
      </c>
      <c r="P4274">
        <v>0</v>
      </c>
      <c r="Q4274">
        <v>0</v>
      </c>
      <c r="R4274">
        <v>27</v>
      </c>
      <c r="S4274">
        <v>189</v>
      </c>
      <c r="T4274">
        <v>0</v>
      </c>
      <c r="V4274">
        <v>0</v>
      </c>
      <c r="W4274" t="s">
        <v>5801</v>
      </c>
    </row>
    <row r="4275" spans="1:23" x14ac:dyDescent="0.25">
      <c r="H4275">
        <v>703</v>
      </c>
    </row>
    <row r="4276" spans="1:23" x14ac:dyDescent="0.25">
      <c r="A4276">
        <v>2135</v>
      </c>
      <c r="B4276">
        <v>2143</v>
      </c>
      <c r="C4276" t="s">
        <v>5802</v>
      </c>
      <c r="D4276" t="s">
        <v>382</v>
      </c>
      <c r="E4276" t="s">
        <v>105</v>
      </c>
      <c r="F4276" t="s">
        <v>5803</v>
      </c>
      <c r="G4276" t="str">
        <f>"00202934"</f>
        <v>00202934</v>
      </c>
      <c r="H4276" t="s">
        <v>1875</v>
      </c>
      <c r="I4276">
        <v>0</v>
      </c>
      <c r="J4276">
        <v>30</v>
      </c>
      <c r="K4276">
        <v>0</v>
      </c>
      <c r="L4276">
        <v>0</v>
      </c>
      <c r="M4276">
        <v>0</v>
      </c>
      <c r="N4276">
        <v>0</v>
      </c>
      <c r="O4276">
        <v>0</v>
      </c>
      <c r="P4276">
        <v>0</v>
      </c>
      <c r="Q4276">
        <v>0</v>
      </c>
      <c r="R4276">
        <v>22</v>
      </c>
      <c r="S4276">
        <v>154</v>
      </c>
      <c r="T4276">
        <v>0</v>
      </c>
      <c r="V4276">
        <v>0</v>
      </c>
      <c r="W4276" t="s">
        <v>5804</v>
      </c>
    </row>
    <row r="4277" spans="1:23" x14ac:dyDescent="0.25">
      <c r="H4277" t="s">
        <v>70</v>
      </c>
    </row>
    <row r="4278" spans="1:23" x14ac:dyDescent="0.25">
      <c r="A4278">
        <v>2136</v>
      </c>
      <c r="B4278">
        <v>1616</v>
      </c>
      <c r="C4278" t="s">
        <v>144</v>
      </c>
      <c r="D4278" t="s">
        <v>129</v>
      </c>
      <c r="E4278" t="s">
        <v>1166</v>
      </c>
      <c r="F4278" t="s">
        <v>5805</v>
      </c>
      <c r="G4278" t="str">
        <f>"00087294"</f>
        <v>00087294</v>
      </c>
      <c r="H4278" t="s">
        <v>1238</v>
      </c>
      <c r="I4278">
        <v>0</v>
      </c>
      <c r="J4278">
        <v>30</v>
      </c>
      <c r="K4278">
        <v>0</v>
      </c>
      <c r="L4278">
        <v>0</v>
      </c>
      <c r="M4278">
        <v>0</v>
      </c>
      <c r="N4278">
        <v>0</v>
      </c>
      <c r="O4278">
        <v>0</v>
      </c>
      <c r="P4278">
        <v>0</v>
      </c>
      <c r="Q4278">
        <v>0</v>
      </c>
      <c r="R4278">
        <v>0</v>
      </c>
      <c r="S4278">
        <v>0</v>
      </c>
      <c r="T4278">
        <v>0</v>
      </c>
      <c r="V4278">
        <v>0</v>
      </c>
      <c r="W4278" t="s">
        <v>5806</v>
      </c>
    </row>
    <row r="4279" spans="1:23" x14ac:dyDescent="0.25">
      <c r="H4279">
        <v>703</v>
      </c>
    </row>
    <row r="4280" spans="1:23" x14ac:dyDescent="0.25">
      <c r="A4280">
        <v>2137</v>
      </c>
      <c r="B4280">
        <v>1033</v>
      </c>
      <c r="C4280" t="s">
        <v>5807</v>
      </c>
      <c r="D4280" t="s">
        <v>1472</v>
      </c>
      <c r="E4280" t="s">
        <v>76</v>
      </c>
      <c r="F4280" t="s">
        <v>5808</v>
      </c>
      <c r="G4280" t="str">
        <f>"00018411"</f>
        <v>00018411</v>
      </c>
      <c r="H4280" t="s">
        <v>2186</v>
      </c>
      <c r="I4280">
        <v>0</v>
      </c>
      <c r="J4280">
        <v>50</v>
      </c>
      <c r="K4280">
        <v>0</v>
      </c>
      <c r="L4280">
        <v>0</v>
      </c>
      <c r="M4280">
        <v>0</v>
      </c>
      <c r="N4280">
        <v>0</v>
      </c>
      <c r="O4280">
        <v>0</v>
      </c>
      <c r="P4280">
        <v>0</v>
      </c>
      <c r="Q4280">
        <v>0</v>
      </c>
      <c r="R4280">
        <v>0</v>
      </c>
      <c r="S4280">
        <v>0</v>
      </c>
      <c r="T4280">
        <v>0</v>
      </c>
      <c r="V4280">
        <v>2</v>
      </c>
      <c r="W4280" t="s">
        <v>5809</v>
      </c>
    </row>
    <row r="4281" spans="1:23" x14ac:dyDescent="0.25">
      <c r="H4281">
        <v>703</v>
      </c>
    </row>
    <row r="4282" spans="1:23" x14ac:dyDescent="0.25">
      <c r="A4282">
        <v>2138</v>
      </c>
      <c r="B4282">
        <v>1257</v>
      </c>
      <c r="C4282" t="s">
        <v>5810</v>
      </c>
      <c r="D4282" t="s">
        <v>5811</v>
      </c>
      <c r="E4282" t="s">
        <v>5812</v>
      </c>
      <c r="F4282" t="s">
        <v>5813</v>
      </c>
      <c r="G4282" t="str">
        <f>"00216421"</f>
        <v>00216421</v>
      </c>
      <c r="H4282" t="s">
        <v>2419</v>
      </c>
      <c r="I4282">
        <v>150</v>
      </c>
      <c r="J4282">
        <v>0</v>
      </c>
      <c r="K4282">
        <v>0</v>
      </c>
      <c r="L4282">
        <v>0</v>
      </c>
      <c r="M4282">
        <v>0</v>
      </c>
      <c r="N4282">
        <v>0</v>
      </c>
      <c r="O4282">
        <v>0</v>
      </c>
      <c r="P4282">
        <v>0</v>
      </c>
      <c r="Q4282">
        <v>0</v>
      </c>
      <c r="R4282">
        <v>3</v>
      </c>
      <c r="S4282">
        <v>21</v>
      </c>
      <c r="T4282">
        <v>0</v>
      </c>
      <c r="V4282">
        <v>1</v>
      </c>
      <c r="W4282" t="s">
        <v>5809</v>
      </c>
    </row>
    <row r="4283" spans="1:23" x14ac:dyDescent="0.25">
      <c r="H4283">
        <v>703</v>
      </c>
    </row>
    <row r="4284" spans="1:23" x14ac:dyDescent="0.25">
      <c r="A4284">
        <v>2139</v>
      </c>
      <c r="B4284">
        <v>1954</v>
      </c>
      <c r="C4284" t="s">
        <v>5814</v>
      </c>
      <c r="D4284" t="s">
        <v>14</v>
      </c>
      <c r="E4284" t="s">
        <v>523</v>
      </c>
      <c r="F4284" t="s">
        <v>5815</v>
      </c>
      <c r="G4284" t="str">
        <f>"201511030057"</f>
        <v>201511030057</v>
      </c>
      <c r="H4284" t="s">
        <v>1359</v>
      </c>
      <c r="I4284">
        <v>0</v>
      </c>
      <c r="J4284">
        <v>30</v>
      </c>
      <c r="K4284">
        <v>0</v>
      </c>
      <c r="L4284">
        <v>30</v>
      </c>
      <c r="M4284">
        <v>0</v>
      </c>
      <c r="N4284">
        <v>0</v>
      </c>
      <c r="O4284">
        <v>0</v>
      </c>
      <c r="P4284">
        <v>0</v>
      </c>
      <c r="Q4284">
        <v>0</v>
      </c>
      <c r="R4284">
        <v>0</v>
      </c>
      <c r="S4284">
        <v>0</v>
      </c>
      <c r="T4284">
        <v>0</v>
      </c>
      <c r="V4284">
        <v>0</v>
      </c>
      <c r="W4284" t="s">
        <v>5816</v>
      </c>
    </row>
    <row r="4285" spans="1:23" x14ac:dyDescent="0.25">
      <c r="H4285" t="s">
        <v>5817</v>
      </c>
    </row>
    <row r="4286" spans="1:23" x14ac:dyDescent="0.25">
      <c r="A4286">
        <v>2140</v>
      </c>
      <c r="B4286">
        <v>2711</v>
      </c>
      <c r="C4286" t="s">
        <v>5818</v>
      </c>
      <c r="D4286" t="s">
        <v>113</v>
      </c>
      <c r="E4286" t="s">
        <v>5819</v>
      </c>
      <c r="F4286" t="s">
        <v>5820</v>
      </c>
      <c r="G4286" t="str">
        <f>"00131086"</f>
        <v>00131086</v>
      </c>
      <c r="H4286">
        <v>880</v>
      </c>
      <c r="I4286">
        <v>0</v>
      </c>
      <c r="J4286">
        <v>30</v>
      </c>
      <c r="K4286">
        <v>0</v>
      </c>
      <c r="L4286">
        <v>0</v>
      </c>
      <c r="M4286">
        <v>0</v>
      </c>
      <c r="N4286">
        <v>0</v>
      </c>
      <c r="O4286">
        <v>0</v>
      </c>
      <c r="P4286">
        <v>0</v>
      </c>
      <c r="Q4286">
        <v>0</v>
      </c>
      <c r="R4286">
        <v>0</v>
      </c>
      <c r="S4286">
        <v>0</v>
      </c>
      <c r="T4286">
        <v>0</v>
      </c>
      <c r="V4286">
        <v>0</v>
      </c>
      <c r="W4286">
        <v>910</v>
      </c>
    </row>
    <row r="4287" spans="1:23" x14ac:dyDescent="0.25">
      <c r="H4287">
        <v>703</v>
      </c>
    </row>
    <row r="4288" spans="1:23" x14ac:dyDescent="0.25">
      <c r="A4288">
        <v>2141</v>
      </c>
      <c r="B4288">
        <v>1598</v>
      </c>
      <c r="C4288" t="s">
        <v>1681</v>
      </c>
      <c r="D4288" t="s">
        <v>248</v>
      </c>
      <c r="E4288" t="s">
        <v>109</v>
      </c>
      <c r="F4288" t="s">
        <v>5821</v>
      </c>
      <c r="G4288" t="str">
        <f>"00198792"</f>
        <v>00198792</v>
      </c>
      <c r="H4288">
        <v>880</v>
      </c>
      <c r="I4288">
        <v>0</v>
      </c>
      <c r="J4288">
        <v>30</v>
      </c>
      <c r="K4288">
        <v>0</v>
      </c>
      <c r="L4288">
        <v>0</v>
      </c>
      <c r="M4288">
        <v>0</v>
      </c>
      <c r="N4288">
        <v>0</v>
      </c>
      <c r="O4288">
        <v>0</v>
      </c>
      <c r="P4288">
        <v>0</v>
      </c>
      <c r="Q4288">
        <v>0</v>
      </c>
      <c r="R4288">
        <v>0</v>
      </c>
      <c r="S4288">
        <v>0</v>
      </c>
      <c r="T4288">
        <v>0</v>
      </c>
      <c r="V4288">
        <v>1</v>
      </c>
      <c r="W4288">
        <v>910</v>
      </c>
    </row>
    <row r="4289" spans="1:23" x14ac:dyDescent="0.25">
      <c r="H4289">
        <v>703</v>
      </c>
    </row>
    <row r="4290" spans="1:23" x14ac:dyDescent="0.25">
      <c r="A4290">
        <v>2142</v>
      </c>
      <c r="B4290">
        <v>1208</v>
      </c>
      <c r="C4290" t="s">
        <v>5822</v>
      </c>
      <c r="D4290" t="s">
        <v>5823</v>
      </c>
      <c r="E4290" t="s">
        <v>424</v>
      </c>
      <c r="F4290" t="s">
        <v>5824</v>
      </c>
      <c r="G4290" t="str">
        <f>"201402003609"</f>
        <v>201402003609</v>
      </c>
      <c r="H4290">
        <v>880</v>
      </c>
      <c r="I4290">
        <v>0</v>
      </c>
      <c r="J4290">
        <v>30</v>
      </c>
      <c r="K4290">
        <v>0</v>
      </c>
      <c r="L4290">
        <v>0</v>
      </c>
      <c r="M4290">
        <v>0</v>
      </c>
      <c r="N4290">
        <v>0</v>
      </c>
      <c r="O4290">
        <v>0</v>
      </c>
      <c r="P4290">
        <v>0</v>
      </c>
      <c r="Q4290">
        <v>0</v>
      </c>
      <c r="R4290">
        <v>0</v>
      </c>
      <c r="S4290">
        <v>0</v>
      </c>
      <c r="T4290">
        <v>0</v>
      </c>
      <c r="V4290">
        <v>0</v>
      </c>
      <c r="W4290">
        <v>910</v>
      </c>
    </row>
    <row r="4291" spans="1:23" x14ac:dyDescent="0.25">
      <c r="H4291">
        <v>703</v>
      </c>
    </row>
    <row r="4292" spans="1:23" x14ac:dyDescent="0.25">
      <c r="A4292">
        <v>2143</v>
      </c>
      <c r="B4292">
        <v>1391</v>
      </c>
      <c r="C4292" t="s">
        <v>5825</v>
      </c>
      <c r="D4292" t="s">
        <v>432</v>
      </c>
      <c r="E4292" t="s">
        <v>350</v>
      </c>
      <c r="F4292" t="s">
        <v>5826</v>
      </c>
      <c r="G4292" t="str">
        <f>"00015603"</f>
        <v>00015603</v>
      </c>
      <c r="H4292">
        <v>880</v>
      </c>
      <c r="I4292">
        <v>0</v>
      </c>
      <c r="J4292">
        <v>30</v>
      </c>
      <c r="K4292">
        <v>0</v>
      </c>
      <c r="L4292">
        <v>0</v>
      </c>
      <c r="M4292">
        <v>0</v>
      </c>
      <c r="N4292">
        <v>0</v>
      </c>
      <c r="O4292">
        <v>0</v>
      </c>
      <c r="P4292">
        <v>0</v>
      </c>
      <c r="Q4292">
        <v>0</v>
      </c>
      <c r="R4292">
        <v>0</v>
      </c>
      <c r="S4292">
        <v>0</v>
      </c>
      <c r="T4292">
        <v>0</v>
      </c>
      <c r="V4292">
        <v>0</v>
      </c>
      <c r="W4292">
        <v>910</v>
      </c>
    </row>
    <row r="4293" spans="1:23" x14ac:dyDescent="0.25">
      <c r="H4293">
        <v>703</v>
      </c>
    </row>
    <row r="4294" spans="1:23" x14ac:dyDescent="0.25">
      <c r="A4294">
        <v>2144</v>
      </c>
      <c r="B4294">
        <v>681</v>
      </c>
      <c r="C4294" t="s">
        <v>5827</v>
      </c>
      <c r="D4294" t="s">
        <v>68</v>
      </c>
      <c r="E4294" t="s">
        <v>105</v>
      </c>
      <c r="F4294" t="s">
        <v>5828</v>
      </c>
      <c r="G4294" t="str">
        <f>"201511028134"</f>
        <v>201511028134</v>
      </c>
      <c r="H4294">
        <v>847</v>
      </c>
      <c r="I4294">
        <v>0</v>
      </c>
      <c r="J4294">
        <v>0</v>
      </c>
      <c r="K4294">
        <v>0</v>
      </c>
      <c r="L4294">
        <v>0</v>
      </c>
      <c r="M4294">
        <v>0</v>
      </c>
      <c r="N4294">
        <v>0</v>
      </c>
      <c r="O4294">
        <v>0</v>
      </c>
      <c r="P4294">
        <v>0</v>
      </c>
      <c r="Q4294">
        <v>0</v>
      </c>
      <c r="R4294">
        <v>9</v>
      </c>
      <c r="S4294">
        <v>63</v>
      </c>
      <c r="T4294">
        <v>0</v>
      </c>
      <c r="V4294">
        <v>2</v>
      </c>
      <c r="W4294">
        <v>910</v>
      </c>
    </row>
    <row r="4295" spans="1:23" x14ac:dyDescent="0.25">
      <c r="H4295">
        <v>703</v>
      </c>
    </row>
    <row r="4296" spans="1:23" x14ac:dyDescent="0.25">
      <c r="A4296">
        <v>2145</v>
      </c>
      <c r="B4296">
        <v>156</v>
      </c>
      <c r="C4296" t="s">
        <v>5829</v>
      </c>
      <c r="D4296" t="s">
        <v>109</v>
      </c>
      <c r="E4296" t="s">
        <v>1818</v>
      </c>
      <c r="F4296" t="s">
        <v>5830</v>
      </c>
      <c r="G4296" t="str">
        <f>"201511028905"</f>
        <v>201511028905</v>
      </c>
      <c r="H4296">
        <v>825</v>
      </c>
      <c r="I4296">
        <v>0</v>
      </c>
      <c r="J4296">
        <v>50</v>
      </c>
      <c r="K4296">
        <v>0</v>
      </c>
      <c r="L4296">
        <v>0</v>
      </c>
      <c r="M4296">
        <v>0</v>
      </c>
      <c r="N4296">
        <v>0</v>
      </c>
      <c r="O4296">
        <v>0</v>
      </c>
      <c r="P4296">
        <v>0</v>
      </c>
      <c r="Q4296">
        <v>0</v>
      </c>
      <c r="R4296">
        <v>5</v>
      </c>
      <c r="S4296">
        <v>35</v>
      </c>
      <c r="T4296">
        <v>0</v>
      </c>
      <c r="V4296">
        <v>0</v>
      </c>
      <c r="W4296">
        <v>910</v>
      </c>
    </row>
    <row r="4297" spans="1:23" x14ac:dyDescent="0.25">
      <c r="H4297">
        <v>703</v>
      </c>
    </row>
    <row r="4298" spans="1:23" x14ac:dyDescent="0.25">
      <c r="A4298">
        <v>2146</v>
      </c>
      <c r="B4298">
        <v>2290</v>
      </c>
      <c r="C4298" t="s">
        <v>4401</v>
      </c>
      <c r="D4298" t="s">
        <v>406</v>
      </c>
      <c r="E4298" t="s">
        <v>79</v>
      </c>
      <c r="F4298" t="s">
        <v>5831</v>
      </c>
      <c r="G4298" t="str">
        <f>"201406008390"</f>
        <v>201406008390</v>
      </c>
      <c r="H4298">
        <v>770</v>
      </c>
      <c r="I4298">
        <v>0</v>
      </c>
      <c r="J4298">
        <v>70</v>
      </c>
      <c r="K4298">
        <v>70</v>
      </c>
      <c r="L4298">
        <v>0</v>
      </c>
      <c r="M4298">
        <v>0</v>
      </c>
      <c r="N4298">
        <v>0</v>
      </c>
      <c r="O4298">
        <v>0</v>
      </c>
      <c r="P4298">
        <v>0</v>
      </c>
      <c r="Q4298">
        <v>0</v>
      </c>
      <c r="R4298">
        <v>0</v>
      </c>
      <c r="S4298">
        <v>0</v>
      </c>
      <c r="T4298">
        <v>0</v>
      </c>
      <c r="V4298">
        <v>0</v>
      </c>
      <c r="W4298">
        <v>910</v>
      </c>
    </row>
    <row r="4299" spans="1:23" x14ac:dyDescent="0.25">
      <c r="H4299">
        <v>703</v>
      </c>
    </row>
    <row r="4300" spans="1:23" x14ac:dyDescent="0.25">
      <c r="A4300">
        <v>2147</v>
      </c>
      <c r="B4300">
        <v>1125</v>
      </c>
      <c r="C4300" t="s">
        <v>5832</v>
      </c>
      <c r="D4300" t="s">
        <v>46</v>
      </c>
      <c r="E4300" t="s">
        <v>76</v>
      </c>
      <c r="F4300" t="s">
        <v>5833</v>
      </c>
      <c r="G4300" t="str">
        <f>"00191453"</f>
        <v>00191453</v>
      </c>
      <c r="H4300" t="s">
        <v>2431</v>
      </c>
      <c r="I4300">
        <v>150</v>
      </c>
      <c r="J4300">
        <v>50</v>
      </c>
      <c r="K4300">
        <v>0</v>
      </c>
      <c r="L4300">
        <v>0</v>
      </c>
      <c r="M4300">
        <v>0</v>
      </c>
      <c r="N4300">
        <v>0</v>
      </c>
      <c r="O4300">
        <v>0</v>
      </c>
      <c r="P4300">
        <v>0</v>
      </c>
      <c r="Q4300">
        <v>0</v>
      </c>
      <c r="R4300">
        <v>0</v>
      </c>
      <c r="S4300">
        <v>0</v>
      </c>
      <c r="T4300">
        <v>0</v>
      </c>
      <c r="V4300">
        <v>0</v>
      </c>
      <c r="W4300" t="s">
        <v>5834</v>
      </c>
    </row>
    <row r="4301" spans="1:23" x14ac:dyDescent="0.25">
      <c r="H4301">
        <v>703</v>
      </c>
    </row>
    <row r="4302" spans="1:23" x14ac:dyDescent="0.25">
      <c r="A4302">
        <v>2148</v>
      </c>
      <c r="B4302">
        <v>646</v>
      </c>
      <c r="C4302" t="s">
        <v>5835</v>
      </c>
      <c r="D4302" t="s">
        <v>1071</v>
      </c>
      <c r="E4302" t="s">
        <v>135</v>
      </c>
      <c r="F4302" t="s">
        <v>5836</v>
      </c>
      <c r="G4302" t="str">
        <f>"00006078"</f>
        <v>00006078</v>
      </c>
      <c r="H4302" t="s">
        <v>2437</v>
      </c>
      <c r="I4302">
        <v>0</v>
      </c>
      <c r="J4302">
        <v>0</v>
      </c>
      <c r="K4302">
        <v>0</v>
      </c>
      <c r="L4302">
        <v>0</v>
      </c>
      <c r="M4302">
        <v>0</v>
      </c>
      <c r="N4302">
        <v>0</v>
      </c>
      <c r="O4302">
        <v>0</v>
      </c>
      <c r="P4302">
        <v>0</v>
      </c>
      <c r="Q4302">
        <v>0</v>
      </c>
      <c r="R4302">
        <v>10</v>
      </c>
      <c r="S4302">
        <v>70</v>
      </c>
      <c r="T4302">
        <v>0</v>
      </c>
      <c r="V4302">
        <v>0</v>
      </c>
      <c r="W4302" t="s">
        <v>5837</v>
      </c>
    </row>
    <row r="4303" spans="1:23" x14ac:dyDescent="0.25">
      <c r="H4303">
        <v>703</v>
      </c>
    </row>
    <row r="4304" spans="1:23" x14ac:dyDescent="0.25">
      <c r="A4304">
        <v>2149</v>
      </c>
      <c r="B4304">
        <v>1201</v>
      </c>
      <c r="C4304" t="s">
        <v>5838</v>
      </c>
      <c r="D4304" t="s">
        <v>5839</v>
      </c>
      <c r="E4304" t="s">
        <v>53</v>
      </c>
      <c r="F4304" t="s">
        <v>5840</v>
      </c>
      <c r="G4304" t="str">
        <f>"00014809"</f>
        <v>00014809</v>
      </c>
      <c r="H4304">
        <v>847</v>
      </c>
      <c r="I4304">
        <v>0</v>
      </c>
      <c r="J4304">
        <v>30</v>
      </c>
      <c r="K4304">
        <v>30</v>
      </c>
      <c r="L4304">
        <v>0</v>
      </c>
      <c r="M4304">
        <v>0</v>
      </c>
      <c r="N4304">
        <v>0</v>
      </c>
      <c r="O4304">
        <v>0</v>
      </c>
      <c r="P4304">
        <v>0</v>
      </c>
      <c r="Q4304">
        <v>0</v>
      </c>
      <c r="R4304">
        <v>0</v>
      </c>
      <c r="S4304">
        <v>0</v>
      </c>
      <c r="T4304">
        <v>0</v>
      </c>
      <c r="V4304">
        <v>0</v>
      </c>
      <c r="W4304">
        <v>907</v>
      </c>
    </row>
    <row r="4305" spans="1:23" x14ac:dyDescent="0.25">
      <c r="H4305" t="s">
        <v>70</v>
      </c>
    </row>
    <row r="4306" spans="1:23" x14ac:dyDescent="0.25">
      <c r="A4306">
        <v>2150</v>
      </c>
      <c r="B4306">
        <v>2389</v>
      </c>
      <c r="C4306" t="s">
        <v>5841</v>
      </c>
      <c r="D4306" t="s">
        <v>21</v>
      </c>
      <c r="E4306" t="s">
        <v>91</v>
      </c>
      <c r="F4306" t="s">
        <v>5842</v>
      </c>
      <c r="G4306" t="str">
        <f>"00138509"</f>
        <v>00138509</v>
      </c>
      <c r="H4306" t="s">
        <v>1014</v>
      </c>
      <c r="I4306">
        <v>0</v>
      </c>
      <c r="J4306">
        <v>30</v>
      </c>
      <c r="K4306">
        <v>0</v>
      </c>
      <c r="L4306">
        <v>0</v>
      </c>
      <c r="M4306">
        <v>0</v>
      </c>
      <c r="N4306">
        <v>0</v>
      </c>
      <c r="O4306">
        <v>0</v>
      </c>
      <c r="P4306">
        <v>0</v>
      </c>
      <c r="Q4306">
        <v>0</v>
      </c>
      <c r="R4306">
        <v>0</v>
      </c>
      <c r="S4306">
        <v>0</v>
      </c>
      <c r="T4306">
        <v>0</v>
      </c>
      <c r="V4306">
        <v>2</v>
      </c>
      <c r="W4306" t="s">
        <v>5843</v>
      </c>
    </row>
    <row r="4307" spans="1:23" x14ac:dyDescent="0.25">
      <c r="H4307">
        <v>703</v>
      </c>
    </row>
    <row r="4308" spans="1:23" x14ac:dyDescent="0.25">
      <c r="A4308">
        <v>2151</v>
      </c>
      <c r="B4308">
        <v>1988</v>
      </c>
      <c r="C4308" t="s">
        <v>5844</v>
      </c>
      <c r="D4308" t="s">
        <v>912</v>
      </c>
      <c r="E4308" t="s">
        <v>15</v>
      </c>
      <c r="F4308" t="s">
        <v>5845</v>
      </c>
      <c r="G4308" t="str">
        <f>"00186651"</f>
        <v>00186651</v>
      </c>
      <c r="H4308" t="s">
        <v>1014</v>
      </c>
      <c r="I4308">
        <v>0</v>
      </c>
      <c r="J4308">
        <v>30</v>
      </c>
      <c r="K4308">
        <v>0</v>
      </c>
      <c r="L4308">
        <v>0</v>
      </c>
      <c r="M4308">
        <v>0</v>
      </c>
      <c r="N4308">
        <v>0</v>
      </c>
      <c r="O4308">
        <v>0</v>
      </c>
      <c r="P4308">
        <v>0</v>
      </c>
      <c r="Q4308">
        <v>0</v>
      </c>
      <c r="R4308">
        <v>0</v>
      </c>
      <c r="S4308">
        <v>0</v>
      </c>
      <c r="T4308">
        <v>0</v>
      </c>
      <c r="V4308">
        <v>0</v>
      </c>
      <c r="W4308" t="s">
        <v>5843</v>
      </c>
    </row>
    <row r="4309" spans="1:23" x14ac:dyDescent="0.25">
      <c r="H4309" t="s">
        <v>26</v>
      </c>
    </row>
    <row r="4310" spans="1:23" x14ac:dyDescent="0.25">
      <c r="A4310">
        <v>2152</v>
      </c>
      <c r="B4310">
        <v>92</v>
      </c>
      <c r="C4310" t="s">
        <v>5846</v>
      </c>
      <c r="D4310" t="s">
        <v>223</v>
      </c>
      <c r="E4310" t="s">
        <v>15</v>
      </c>
      <c r="F4310" t="s">
        <v>5847</v>
      </c>
      <c r="G4310" t="str">
        <f>"00196953"</f>
        <v>00196953</v>
      </c>
      <c r="H4310" t="s">
        <v>1014</v>
      </c>
      <c r="I4310">
        <v>0</v>
      </c>
      <c r="J4310">
        <v>30</v>
      </c>
      <c r="K4310">
        <v>0</v>
      </c>
      <c r="L4310">
        <v>0</v>
      </c>
      <c r="M4310">
        <v>0</v>
      </c>
      <c r="N4310">
        <v>0</v>
      </c>
      <c r="O4310">
        <v>0</v>
      </c>
      <c r="P4310">
        <v>0</v>
      </c>
      <c r="Q4310">
        <v>0</v>
      </c>
      <c r="R4310">
        <v>0</v>
      </c>
      <c r="S4310">
        <v>0</v>
      </c>
      <c r="T4310">
        <v>0</v>
      </c>
      <c r="V4310">
        <v>1</v>
      </c>
      <c r="W4310" t="s">
        <v>5843</v>
      </c>
    </row>
    <row r="4311" spans="1:23" x14ac:dyDescent="0.25">
      <c r="H4311">
        <v>703</v>
      </c>
    </row>
    <row r="4312" spans="1:23" x14ac:dyDescent="0.25">
      <c r="A4312">
        <v>2153</v>
      </c>
      <c r="B4312">
        <v>2646</v>
      </c>
      <c r="C4312" t="s">
        <v>5848</v>
      </c>
      <c r="D4312" t="s">
        <v>112</v>
      </c>
      <c r="E4312" t="s">
        <v>76</v>
      </c>
      <c r="F4312" t="s">
        <v>5849</v>
      </c>
      <c r="G4312" t="str">
        <f>"00159934"</f>
        <v>00159934</v>
      </c>
      <c r="H4312" t="s">
        <v>1014</v>
      </c>
      <c r="I4312">
        <v>0</v>
      </c>
      <c r="J4312">
        <v>30</v>
      </c>
      <c r="K4312">
        <v>0</v>
      </c>
      <c r="L4312">
        <v>0</v>
      </c>
      <c r="M4312">
        <v>0</v>
      </c>
      <c r="N4312">
        <v>0</v>
      </c>
      <c r="O4312">
        <v>0</v>
      </c>
      <c r="P4312">
        <v>0</v>
      </c>
      <c r="Q4312">
        <v>0</v>
      </c>
      <c r="R4312">
        <v>0</v>
      </c>
      <c r="S4312">
        <v>0</v>
      </c>
      <c r="T4312">
        <v>0</v>
      </c>
      <c r="V4312">
        <v>0</v>
      </c>
      <c r="W4312" t="s">
        <v>5843</v>
      </c>
    </row>
    <row r="4313" spans="1:23" x14ac:dyDescent="0.25">
      <c r="H4313">
        <v>703</v>
      </c>
    </row>
    <row r="4314" spans="1:23" x14ac:dyDescent="0.25">
      <c r="A4314">
        <v>2154</v>
      </c>
      <c r="B4314">
        <v>2145</v>
      </c>
      <c r="C4314" t="s">
        <v>5850</v>
      </c>
      <c r="D4314" t="s">
        <v>32</v>
      </c>
      <c r="E4314" t="s">
        <v>15</v>
      </c>
      <c r="F4314" t="s">
        <v>5851</v>
      </c>
      <c r="G4314" t="str">
        <f>"00157323"</f>
        <v>00157323</v>
      </c>
      <c r="H4314">
        <v>825</v>
      </c>
      <c r="I4314">
        <v>0</v>
      </c>
      <c r="J4314">
        <v>30</v>
      </c>
      <c r="K4314">
        <v>0</v>
      </c>
      <c r="L4314">
        <v>0</v>
      </c>
      <c r="M4314">
        <v>0</v>
      </c>
      <c r="N4314">
        <v>0</v>
      </c>
      <c r="O4314">
        <v>0</v>
      </c>
      <c r="P4314">
        <v>0</v>
      </c>
      <c r="Q4314">
        <v>0</v>
      </c>
      <c r="R4314">
        <v>7</v>
      </c>
      <c r="S4314">
        <v>49</v>
      </c>
      <c r="T4314">
        <v>0</v>
      </c>
      <c r="V4314">
        <v>0</v>
      </c>
      <c r="W4314">
        <v>904</v>
      </c>
    </row>
    <row r="4315" spans="1:23" x14ac:dyDescent="0.25">
      <c r="H4315">
        <v>703</v>
      </c>
    </row>
    <row r="4316" spans="1:23" x14ac:dyDescent="0.25">
      <c r="A4316">
        <v>2155</v>
      </c>
      <c r="B4316">
        <v>1097</v>
      </c>
      <c r="C4316" t="s">
        <v>500</v>
      </c>
      <c r="D4316" t="s">
        <v>1815</v>
      </c>
      <c r="E4316" t="s">
        <v>113</v>
      </c>
      <c r="F4316" t="s">
        <v>5852</v>
      </c>
      <c r="G4316" t="str">
        <f>"201604003098"</f>
        <v>201604003098</v>
      </c>
      <c r="H4316" t="s">
        <v>2419</v>
      </c>
      <c r="I4316">
        <v>0</v>
      </c>
      <c r="J4316">
        <v>70</v>
      </c>
      <c r="K4316">
        <v>0</v>
      </c>
      <c r="L4316">
        <v>70</v>
      </c>
      <c r="M4316">
        <v>0</v>
      </c>
      <c r="N4316">
        <v>0</v>
      </c>
      <c r="O4316">
        <v>0</v>
      </c>
      <c r="P4316">
        <v>0</v>
      </c>
      <c r="Q4316">
        <v>0</v>
      </c>
      <c r="R4316">
        <v>3</v>
      </c>
      <c r="S4316">
        <v>21</v>
      </c>
      <c r="T4316">
        <v>0</v>
      </c>
      <c r="V4316">
        <v>0</v>
      </c>
      <c r="W4316" t="s">
        <v>5853</v>
      </c>
    </row>
    <row r="4317" spans="1:23" x14ac:dyDescent="0.25">
      <c r="H4317">
        <v>703</v>
      </c>
    </row>
    <row r="4318" spans="1:23" x14ac:dyDescent="0.25">
      <c r="A4318">
        <v>2156</v>
      </c>
      <c r="B4318">
        <v>163</v>
      </c>
      <c r="C4318" t="s">
        <v>5854</v>
      </c>
      <c r="D4318" t="s">
        <v>140</v>
      </c>
      <c r="E4318" t="s">
        <v>41</v>
      </c>
      <c r="F4318" t="s">
        <v>5855</v>
      </c>
      <c r="G4318" t="str">
        <f>"00162084"</f>
        <v>00162084</v>
      </c>
      <c r="H4318">
        <v>770</v>
      </c>
      <c r="I4318">
        <v>0</v>
      </c>
      <c r="J4318">
        <v>0</v>
      </c>
      <c r="K4318">
        <v>0</v>
      </c>
      <c r="L4318">
        <v>0</v>
      </c>
      <c r="M4318">
        <v>0</v>
      </c>
      <c r="N4318">
        <v>0</v>
      </c>
      <c r="O4318">
        <v>0</v>
      </c>
      <c r="P4318">
        <v>0</v>
      </c>
      <c r="Q4318">
        <v>0</v>
      </c>
      <c r="R4318">
        <v>19</v>
      </c>
      <c r="S4318">
        <v>133</v>
      </c>
      <c r="T4318">
        <v>0</v>
      </c>
      <c r="V4318">
        <v>0</v>
      </c>
      <c r="W4318">
        <v>903</v>
      </c>
    </row>
    <row r="4319" spans="1:23" x14ac:dyDescent="0.25">
      <c r="H4319">
        <v>703</v>
      </c>
    </row>
    <row r="4320" spans="1:23" x14ac:dyDescent="0.25">
      <c r="A4320">
        <v>2157</v>
      </c>
      <c r="B4320">
        <v>819</v>
      </c>
      <c r="C4320" t="s">
        <v>1175</v>
      </c>
      <c r="D4320" t="s">
        <v>4207</v>
      </c>
      <c r="E4320" t="s">
        <v>24</v>
      </c>
      <c r="F4320" t="s">
        <v>5856</v>
      </c>
      <c r="G4320" t="str">
        <f>"00229393"</f>
        <v>00229393</v>
      </c>
      <c r="H4320" t="s">
        <v>1222</v>
      </c>
      <c r="I4320">
        <v>0</v>
      </c>
      <c r="J4320">
        <v>0</v>
      </c>
      <c r="K4320">
        <v>0</v>
      </c>
      <c r="L4320">
        <v>0</v>
      </c>
      <c r="M4320">
        <v>0</v>
      </c>
      <c r="N4320">
        <v>0</v>
      </c>
      <c r="O4320">
        <v>0</v>
      </c>
      <c r="P4320">
        <v>0</v>
      </c>
      <c r="Q4320">
        <v>0</v>
      </c>
      <c r="R4320">
        <v>2</v>
      </c>
      <c r="S4320">
        <v>14</v>
      </c>
      <c r="T4320">
        <v>0</v>
      </c>
      <c r="V4320">
        <v>0</v>
      </c>
      <c r="W4320" t="s">
        <v>5857</v>
      </c>
    </row>
    <row r="4321" spans="1:23" x14ac:dyDescent="0.25">
      <c r="H4321">
        <v>703</v>
      </c>
    </row>
    <row r="4322" spans="1:23" x14ac:dyDescent="0.25">
      <c r="A4322">
        <v>2158</v>
      </c>
      <c r="B4322">
        <v>1994</v>
      </c>
      <c r="C4322" t="s">
        <v>5858</v>
      </c>
      <c r="D4322" t="s">
        <v>129</v>
      </c>
      <c r="E4322" t="s">
        <v>24</v>
      </c>
      <c r="F4322" t="s">
        <v>5859</v>
      </c>
      <c r="G4322" t="str">
        <f>"00114755"</f>
        <v>00114755</v>
      </c>
      <c r="H4322">
        <v>902</v>
      </c>
      <c r="I4322">
        <v>0</v>
      </c>
      <c r="J4322">
        <v>0</v>
      </c>
      <c r="K4322">
        <v>0</v>
      </c>
      <c r="L4322">
        <v>0</v>
      </c>
      <c r="M4322">
        <v>0</v>
      </c>
      <c r="N4322">
        <v>0</v>
      </c>
      <c r="O4322">
        <v>0</v>
      </c>
      <c r="P4322">
        <v>0</v>
      </c>
      <c r="Q4322">
        <v>0</v>
      </c>
      <c r="R4322">
        <v>0</v>
      </c>
      <c r="S4322">
        <v>0</v>
      </c>
      <c r="T4322">
        <v>0</v>
      </c>
      <c r="V4322">
        <v>0</v>
      </c>
      <c r="W4322">
        <v>902</v>
      </c>
    </row>
    <row r="4323" spans="1:23" x14ac:dyDescent="0.25">
      <c r="H4323">
        <v>703</v>
      </c>
    </row>
    <row r="4324" spans="1:23" x14ac:dyDescent="0.25">
      <c r="A4324">
        <v>2159</v>
      </c>
      <c r="B4324">
        <v>26</v>
      </c>
      <c r="C4324" t="s">
        <v>3151</v>
      </c>
      <c r="D4324" t="s">
        <v>4286</v>
      </c>
      <c r="E4324" t="s">
        <v>91</v>
      </c>
      <c r="F4324" t="s">
        <v>5860</v>
      </c>
      <c r="G4324" t="str">
        <f>"201511041307"</f>
        <v>201511041307</v>
      </c>
      <c r="H4324">
        <v>902</v>
      </c>
      <c r="I4324">
        <v>0</v>
      </c>
      <c r="J4324">
        <v>0</v>
      </c>
      <c r="K4324">
        <v>0</v>
      </c>
      <c r="L4324">
        <v>0</v>
      </c>
      <c r="M4324">
        <v>0</v>
      </c>
      <c r="N4324">
        <v>0</v>
      </c>
      <c r="O4324">
        <v>0</v>
      </c>
      <c r="P4324">
        <v>0</v>
      </c>
      <c r="Q4324">
        <v>0</v>
      </c>
      <c r="R4324">
        <v>0</v>
      </c>
      <c r="S4324">
        <v>0</v>
      </c>
      <c r="T4324">
        <v>0</v>
      </c>
      <c r="V4324">
        <v>0</v>
      </c>
      <c r="W4324">
        <v>902</v>
      </c>
    </row>
    <row r="4325" spans="1:23" x14ac:dyDescent="0.25">
      <c r="H4325">
        <v>703</v>
      </c>
    </row>
    <row r="4326" spans="1:23" x14ac:dyDescent="0.25">
      <c r="A4326">
        <v>2160</v>
      </c>
      <c r="B4326">
        <v>2871</v>
      </c>
      <c r="C4326" t="s">
        <v>5861</v>
      </c>
      <c r="D4326" t="s">
        <v>4055</v>
      </c>
      <c r="E4326" t="s">
        <v>91</v>
      </c>
      <c r="F4326" t="s">
        <v>5862</v>
      </c>
      <c r="G4326" t="str">
        <f>"00226346"</f>
        <v>00226346</v>
      </c>
      <c r="H4326">
        <v>660</v>
      </c>
      <c r="I4326">
        <v>150</v>
      </c>
      <c r="J4326">
        <v>50</v>
      </c>
      <c r="K4326">
        <v>0</v>
      </c>
      <c r="L4326">
        <v>0</v>
      </c>
      <c r="M4326">
        <v>0</v>
      </c>
      <c r="N4326">
        <v>0</v>
      </c>
      <c r="O4326">
        <v>0</v>
      </c>
      <c r="P4326">
        <v>0</v>
      </c>
      <c r="Q4326">
        <v>0</v>
      </c>
      <c r="R4326">
        <v>6</v>
      </c>
      <c r="S4326">
        <v>42</v>
      </c>
      <c r="T4326">
        <v>0</v>
      </c>
      <c r="V4326">
        <v>0</v>
      </c>
      <c r="W4326">
        <v>902</v>
      </c>
    </row>
    <row r="4327" spans="1:23" x14ac:dyDescent="0.25">
      <c r="H4327" t="s">
        <v>26</v>
      </c>
    </row>
    <row r="4328" spans="1:23" x14ac:dyDescent="0.25">
      <c r="A4328">
        <v>2161</v>
      </c>
      <c r="B4328">
        <v>1077</v>
      </c>
      <c r="C4328" t="s">
        <v>5252</v>
      </c>
      <c r="D4328" t="s">
        <v>28</v>
      </c>
      <c r="E4328" t="s">
        <v>1367</v>
      </c>
      <c r="F4328" t="s">
        <v>5863</v>
      </c>
      <c r="G4328" t="str">
        <f>"201402002111"</f>
        <v>201402002111</v>
      </c>
      <c r="H4328" t="s">
        <v>1514</v>
      </c>
      <c r="I4328">
        <v>0</v>
      </c>
      <c r="J4328">
        <v>70</v>
      </c>
      <c r="K4328">
        <v>0</v>
      </c>
      <c r="L4328">
        <v>0</v>
      </c>
      <c r="M4328">
        <v>0</v>
      </c>
      <c r="N4328">
        <v>0</v>
      </c>
      <c r="O4328">
        <v>0</v>
      </c>
      <c r="P4328">
        <v>0</v>
      </c>
      <c r="Q4328">
        <v>0</v>
      </c>
      <c r="R4328">
        <v>0</v>
      </c>
      <c r="S4328">
        <v>0</v>
      </c>
      <c r="T4328">
        <v>0</v>
      </c>
      <c r="V4328">
        <v>0</v>
      </c>
      <c r="W4328" t="s">
        <v>5864</v>
      </c>
    </row>
    <row r="4329" spans="1:23" x14ac:dyDescent="0.25">
      <c r="H4329">
        <v>703</v>
      </c>
    </row>
    <row r="4330" spans="1:23" x14ac:dyDescent="0.25">
      <c r="A4330">
        <v>2162</v>
      </c>
      <c r="B4330">
        <v>810</v>
      </c>
      <c r="C4330" t="s">
        <v>5865</v>
      </c>
      <c r="D4330" t="s">
        <v>392</v>
      </c>
      <c r="E4330" t="s">
        <v>99</v>
      </c>
      <c r="F4330" t="s">
        <v>5866</v>
      </c>
      <c r="G4330" t="str">
        <f>"201411001216"</f>
        <v>201411001216</v>
      </c>
      <c r="H4330">
        <v>660</v>
      </c>
      <c r="I4330">
        <v>0</v>
      </c>
      <c r="J4330">
        <v>30</v>
      </c>
      <c r="K4330">
        <v>0</v>
      </c>
      <c r="L4330">
        <v>0</v>
      </c>
      <c r="M4330">
        <v>0</v>
      </c>
      <c r="N4330">
        <v>0</v>
      </c>
      <c r="O4330">
        <v>0</v>
      </c>
      <c r="P4330">
        <v>0</v>
      </c>
      <c r="Q4330">
        <v>0</v>
      </c>
      <c r="R4330">
        <v>30</v>
      </c>
      <c r="S4330">
        <v>210</v>
      </c>
      <c r="T4330">
        <v>0</v>
      </c>
      <c r="V4330">
        <v>2</v>
      </c>
      <c r="W4330">
        <v>900</v>
      </c>
    </row>
    <row r="4331" spans="1:23" x14ac:dyDescent="0.25">
      <c r="H4331" t="s">
        <v>70</v>
      </c>
    </row>
    <row r="4332" spans="1:23" x14ac:dyDescent="0.25">
      <c r="A4332">
        <v>2163</v>
      </c>
      <c r="B4332">
        <v>1930</v>
      </c>
      <c r="C4332" t="s">
        <v>5867</v>
      </c>
      <c r="D4332" t="s">
        <v>185</v>
      </c>
      <c r="E4332" t="s">
        <v>523</v>
      </c>
      <c r="F4332" t="s">
        <v>5868</v>
      </c>
      <c r="G4332" t="str">
        <f>"00230729"</f>
        <v>00230729</v>
      </c>
      <c r="H4332" t="s">
        <v>1583</v>
      </c>
      <c r="I4332">
        <v>0</v>
      </c>
      <c r="J4332">
        <v>30</v>
      </c>
      <c r="K4332">
        <v>0</v>
      </c>
      <c r="L4332">
        <v>0</v>
      </c>
      <c r="M4332">
        <v>0</v>
      </c>
      <c r="N4332">
        <v>0</v>
      </c>
      <c r="O4332">
        <v>0</v>
      </c>
      <c r="P4332">
        <v>0</v>
      </c>
      <c r="Q4332">
        <v>0</v>
      </c>
      <c r="R4332">
        <v>5</v>
      </c>
      <c r="S4332">
        <v>35</v>
      </c>
      <c r="T4332">
        <v>0</v>
      </c>
      <c r="V4332">
        <v>0</v>
      </c>
      <c r="W4332" t="s">
        <v>5869</v>
      </c>
    </row>
    <row r="4333" spans="1:23" x14ac:dyDescent="0.25">
      <c r="H4333">
        <v>703</v>
      </c>
    </row>
    <row r="4334" spans="1:23" x14ac:dyDescent="0.25">
      <c r="A4334">
        <v>2164</v>
      </c>
      <c r="B4334">
        <v>1075</v>
      </c>
      <c r="C4334" t="s">
        <v>5870</v>
      </c>
      <c r="D4334" t="s">
        <v>41</v>
      </c>
      <c r="E4334" t="s">
        <v>156</v>
      </c>
      <c r="F4334" t="s">
        <v>5871</v>
      </c>
      <c r="G4334" t="str">
        <f>"200802005757"</f>
        <v>200802005757</v>
      </c>
      <c r="H4334" t="s">
        <v>1212</v>
      </c>
      <c r="I4334">
        <v>0</v>
      </c>
      <c r="J4334">
        <v>50</v>
      </c>
      <c r="K4334">
        <v>0</v>
      </c>
      <c r="L4334">
        <v>0</v>
      </c>
      <c r="M4334">
        <v>30</v>
      </c>
      <c r="N4334">
        <v>0</v>
      </c>
      <c r="O4334">
        <v>0</v>
      </c>
      <c r="P4334">
        <v>0</v>
      </c>
      <c r="Q4334">
        <v>0</v>
      </c>
      <c r="R4334">
        <v>0</v>
      </c>
      <c r="S4334">
        <v>0</v>
      </c>
      <c r="T4334">
        <v>0</v>
      </c>
      <c r="V4334">
        <v>0</v>
      </c>
      <c r="W4334" t="s">
        <v>5872</v>
      </c>
    </row>
    <row r="4335" spans="1:23" x14ac:dyDescent="0.25">
      <c r="H4335" t="s">
        <v>70</v>
      </c>
    </row>
    <row r="4336" spans="1:23" x14ac:dyDescent="0.25">
      <c r="A4336">
        <v>2165</v>
      </c>
      <c r="B4336">
        <v>804</v>
      </c>
      <c r="C4336" t="s">
        <v>103</v>
      </c>
      <c r="D4336" t="s">
        <v>5873</v>
      </c>
      <c r="E4336" t="s">
        <v>607</v>
      </c>
      <c r="F4336" t="s">
        <v>5874</v>
      </c>
      <c r="G4336" t="str">
        <f>"00104855"</f>
        <v>00104855</v>
      </c>
      <c r="H4336">
        <v>869</v>
      </c>
      <c r="I4336">
        <v>0</v>
      </c>
      <c r="J4336">
        <v>30</v>
      </c>
      <c r="K4336">
        <v>0</v>
      </c>
      <c r="L4336">
        <v>0</v>
      </c>
      <c r="M4336">
        <v>0</v>
      </c>
      <c r="N4336">
        <v>0</v>
      </c>
      <c r="O4336">
        <v>0</v>
      </c>
      <c r="P4336">
        <v>0</v>
      </c>
      <c r="Q4336">
        <v>0</v>
      </c>
      <c r="R4336">
        <v>0</v>
      </c>
      <c r="S4336">
        <v>0</v>
      </c>
      <c r="T4336">
        <v>0</v>
      </c>
      <c r="V4336">
        <v>0</v>
      </c>
      <c r="W4336">
        <v>899</v>
      </c>
    </row>
    <row r="4337" spans="1:23" x14ac:dyDescent="0.25">
      <c r="H4337">
        <v>703</v>
      </c>
    </row>
    <row r="4338" spans="1:23" x14ac:dyDescent="0.25">
      <c r="A4338">
        <v>2166</v>
      </c>
      <c r="B4338">
        <v>937</v>
      </c>
      <c r="C4338" t="s">
        <v>5875</v>
      </c>
      <c r="D4338" t="s">
        <v>91</v>
      </c>
      <c r="E4338" t="s">
        <v>129</v>
      </c>
      <c r="F4338" t="s">
        <v>5876</v>
      </c>
      <c r="G4338" t="str">
        <f>"00109151"</f>
        <v>00109151</v>
      </c>
      <c r="H4338">
        <v>869</v>
      </c>
      <c r="I4338">
        <v>0</v>
      </c>
      <c r="J4338">
        <v>30</v>
      </c>
      <c r="K4338">
        <v>0</v>
      </c>
      <c r="L4338">
        <v>0</v>
      </c>
      <c r="M4338">
        <v>0</v>
      </c>
      <c r="N4338">
        <v>0</v>
      </c>
      <c r="O4338">
        <v>0</v>
      </c>
      <c r="P4338">
        <v>0</v>
      </c>
      <c r="Q4338">
        <v>0</v>
      </c>
      <c r="R4338">
        <v>0</v>
      </c>
      <c r="S4338">
        <v>0</v>
      </c>
      <c r="T4338">
        <v>0</v>
      </c>
      <c r="V4338">
        <v>1</v>
      </c>
      <c r="W4338">
        <v>899</v>
      </c>
    </row>
    <row r="4339" spans="1:23" x14ac:dyDescent="0.25">
      <c r="H4339" t="s">
        <v>26</v>
      </c>
    </row>
    <row r="4340" spans="1:23" x14ac:dyDescent="0.25">
      <c r="A4340">
        <v>2167</v>
      </c>
      <c r="B4340">
        <v>827</v>
      </c>
      <c r="C4340" t="s">
        <v>2588</v>
      </c>
      <c r="D4340" t="s">
        <v>46</v>
      </c>
      <c r="E4340" t="s">
        <v>53</v>
      </c>
      <c r="F4340" t="s">
        <v>5877</v>
      </c>
      <c r="G4340" t="str">
        <f>"200802002404"</f>
        <v>200802002404</v>
      </c>
      <c r="H4340" t="s">
        <v>982</v>
      </c>
      <c r="I4340">
        <v>0</v>
      </c>
      <c r="J4340">
        <v>0</v>
      </c>
      <c r="K4340">
        <v>0</v>
      </c>
      <c r="L4340">
        <v>0</v>
      </c>
      <c r="M4340">
        <v>0</v>
      </c>
      <c r="N4340">
        <v>0</v>
      </c>
      <c r="O4340">
        <v>0</v>
      </c>
      <c r="P4340">
        <v>0</v>
      </c>
      <c r="Q4340">
        <v>0</v>
      </c>
      <c r="R4340">
        <v>0</v>
      </c>
      <c r="S4340">
        <v>0</v>
      </c>
      <c r="T4340">
        <v>0</v>
      </c>
      <c r="V4340">
        <v>0</v>
      </c>
      <c r="W4340" t="s">
        <v>982</v>
      </c>
    </row>
    <row r="4341" spans="1:23" x14ac:dyDescent="0.25">
      <c r="H4341">
        <v>703</v>
      </c>
    </row>
    <row r="4342" spans="1:23" x14ac:dyDescent="0.25">
      <c r="A4342">
        <v>2168</v>
      </c>
      <c r="B4342">
        <v>2401</v>
      </c>
      <c r="C4342" t="s">
        <v>5878</v>
      </c>
      <c r="D4342" t="s">
        <v>4207</v>
      </c>
      <c r="E4342" t="s">
        <v>5585</v>
      </c>
      <c r="F4342" t="s">
        <v>5879</v>
      </c>
      <c r="G4342" t="str">
        <f>"00143374"</f>
        <v>00143374</v>
      </c>
      <c r="H4342" t="s">
        <v>982</v>
      </c>
      <c r="I4342">
        <v>0</v>
      </c>
      <c r="J4342">
        <v>0</v>
      </c>
      <c r="K4342">
        <v>0</v>
      </c>
      <c r="L4342">
        <v>0</v>
      </c>
      <c r="M4342">
        <v>0</v>
      </c>
      <c r="N4342">
        <v>0</v>
      </c>
      <c r="O4342">
        <v>0</v>
      </c>
      <c r="P4342">
        <v>0</v>
      </c>
      <c r="Q4342">
        <v>0</v>
      </c>
      <c r="R4342">
        <v>0</v>
      </c>
      <c r="S4342">
        <v>0</v>
      </c>
      <c r="T4342">
        <v>0</v>
      </c>
      <c r="V4342">
        <v>0</v>
      </c>
      <c r="W4342" t="s">
        <v>982</v>
      </c>
    </row>
    <row r="4343" spans="1:23" x14ac:dyDescent="0.25">
      <c r="H4343">
        <v>703</v>
      </c>
    </row>
    <row r="4344" spans="1:23" x14ac:dyDescent="0.25">
      <c r="A4344">
        <v>2169</v>
      </c>
      <c r="B4344">
        <v>2142</v>
      </c>
      <c r="C4344" t="s">
        <v>3729</v>
      </c>
      <c r="D4344" t="s">
        <v>3411</v>
      </c>
      <c r="E4344" t="s">
        <v>41</v>
      </c>
      <c r="F4344" t="s">
        <v>5880</v>
      </c>
      <c r="G4344" t="str">
        <f>"00228344"</f>
        <v>00228344</v>
      </c>
      <c r="H4344" t="s">
        <v>2191</v>
      </c>
      <c r="I4344">
        <v>0</v>
      </c>
      <c r="J4344">
        <v>30</v>
      </c>
      <c r="K4344">
        <v>0</v>
      </c>
      <c r="L4344">
        <v>0</v>
      </c>
      <c r="M4344">
        <v>0</v>
      </c>
      <c r="N4344">
        <v>0</v>
      </c>
      <c r="O4344">
        <v>30</v>
      </c>
      <c r="P4344">
        <v>0</v>
      </c>
      <c r="Q4344">
        <v>0</v>
      </c>
      <c r="R4344">
        <v>12</v>
      </c>
      <c r="S4344">
        <v>84</v>
      </c>
      <c r="T4344">
        <v>0</v>
      </c>
      <c r="V4344">
        <v>0</v>
      </c>
      <c r="W4344" t="s">
        <v>5881</v>
      </c>
    </row>
    <row r="4345" spans="1:23" x14ac:dyDescent="0.25">
      <c r="H4345" t="s">
        <v>26</v>
      </c>
    </row>
    <row r="4346" spans="1:23" x14ac:dyDescent="0.25">
      <c r="A4346">
        <v>2170</v>
      </c>
      <c r="B4346">
        <v>2465</v>
      </c>
      <c r="C4346" t="s">
        <v>984</v>
      </c>
      <c r="D4346" t="s">
        <v>185</v>
      </c>
      <c r="E4346" t="s">
        <v>129</v>
      </c>
      <c r="F4346" t="s">
        <v>5882</v>
      </c>
      <c r="G4346" t="str">
        <f>"00023989"</f>
        <v>00023989</v>
      </c>
      <c r="H4346">
        <v>847</v>
      </c>
      <c r="I4346">
        <v>0</v>
      </c>
      <c r="J4346">
        <v>50</v>
      </c>
      <c r="K4346">
        <v>0</v>
      </c>
      <c r="L4346">
        <v>0</v>
      </c>
      <c r="M4346">
        <v>0</v>
      </c>
      <c r="N4346">
        <v>0</v>
      </c>
      <c r="O4346">
        <v>0</v>
      </c>
      <c r="P4346">
        <v>0</v>
      </c>
      <c r="Q4346">
        <v>0</v>
      </c>
      <c r="R4346">
        <v>0</v>
      </c>
      <c r="S4346">
        <v>0</v>
      </c>
      <c r="T4346">
        <v>0</v>
      </c>
      <c r="V4346">
        <v>0</v>
      </c>
      <c r="W4346">
        <v>897</v>
      </c>
    </row>
    <row r="4347" spans="1:23" x14ac:dyDescent="0.25">
      <c r="H4347" t="s">
        <v>26</v>
      </c>
    </row>
    <row r="4348" spans="1:23" x14ac:dyDescent="0.25">
      <c r="A4348">
        <v>2171</v>
      </c>
      <c r="B4348">
        <v>562</v>
      </c>
      <c r="C4348" t="s">
        <v>1396</v>
      </c>
      <c r="D4348" t="s">
        <v>361</v>
      </c>
      <c r="E4348" t="s">
        <v>76</v>
      </c>
      <c r="F4348" t="s">
        <v>5883</v>
      </c>
      <c r="G4348" t="str">
        <f>"00224126"</f>
        <v>00224126</v>
      </c>
      <c r="H4348">
        <v>825</v>
      </c>
      <c r="I4348">
        <v>0</v>
      </c>
      <c r="J4348">
        <v>30</v>
      </c>
      <c r="K4348">
        <v>0</v>
      </c>
      <c r="L4348">
        <v>0</v>
      </c>
      <c r="M4348">
        <v>0</v>
      </c>
      <c r="N4348">
        <v>0</v>
      </c>
      <c r="O4348">
        <v>0</v>
      </c>
      <c r="P4348">
        <v>0</v>
      </c>
      <c r="Q4348">
        <v>0</v>
      </c>
      <c r="R4348">
        <v>6</v>
      </c>
      <c r="S4348">
        <v>42</v>
      </c>
      <c r="T4348">
        <v>0</v>
      </c>
      <c r="V4348">
        <v>0</v>
      </c>
      <c r="W4348">
        <v>897</v>
      </c>
    </row>
    <row r="4349" spans="1:23" x14ac:dyDescent="0.25">
      <c r="H4349">
        <v>703</v>
      </c>
    </row>
    <row r="4350" spans="1:23" x14ac:dyDescent="0.25">
      <c r="A4350">
        <v>2172</v>
      </c>
      <c r="B4350">
        <v>150</v>
      </c>
      <c r="C4350" t="s">
        <v>5884</v>
      </c>
      <c r="D4350" t="s">
        <v>96</v>
      </c>
      <c r="E4350" t="s">
        <v>99</v>
      </c>
      <c r="F4350" t="s">
        <v>5885</v>
      </c>
      <c r="G4350" t="str">
        <f>"00199970"</f>
        <v>00199970</v>
      </c>
      <c r="H4350" t="s">
        <v>1001</v>
      </c>
      <c r="I4350">
        <v>0</v>
      </c>
      <c r="J4350">
        <v>0</v>
      </c>
      <c r="K4350">
        <v>0</v>
      </c>
      <c r="L4350">
        <v>0</v>
      </c>
      <c r="M4350">
        <v>0</v>
      </c>
      <c r="N4350">
        <v>0</v>
      </c>
      <c r="O4350">
        <v>0</v>
      </c>
      <c r="P4350">
        <v>0</v>
      </c>
      <c r="Q4350">
        <v>0</v>
      </c>
      <c r="R4350">
        <v>0</v>
      </c>
      <c r="S4350">
        <v>0</v>
      </c>
      <c r="T4350">
        <v>0</v>
      </c>
      <c r="V4350">
        <v>0</v>
      </c>
      <c r="W4350" t="s">
        <v>1001</v>
      </c>
    </row>
    <row r="4351" spans="1:23" x14ac:dyDescent="0.25">
      <c r="H4351">
        <v>703</v>
      </c>
    </row>
    <row r="4352" spans="1:23" x14ac:dyDescent="0.25">
      <c r="A4352">
        <v>2173</v>
      </c>
      <c r="B4352">
        <v>1056</v>
      </c>
      <c r="C4352" t="s">
        <v>5886</v>
      </c>
      <c r="D4352" t="s">
        <v>53</v>
      </c>
      <c r="E4352" t="s">
        <v>5887</v>
      </c>
      <c r="F4352" t="s">
        <v>5888</v>
      </c>
      <c r="G4352" t="str">
        <f>"00167669"</f>
        <v>00167669</v>
      </c>
      <c r="H4352" t="s">
        <v>1001</v>
      </c>
      <c r="I4352">
        <v>0</v>
      </c>
      <c r="J4352">
        <v>0</v>
      </c>
      <c r="K4352">
        <v>0</v>
      </c>
      <c r="L4352">
        <v>0</v>
      </c>
      <c r="M4352">
        <v>0</v>
      </c>
      <c r="N4352">
        <v>0</v>
      </c>
      <c r="O4352">
        <v>0</v>
      </c>
      <c r="P4352">
        <v>0</v>
      </c>
      <c r="Q4352">
        <v>0</v>
      </c>
      <c r="R4352">
        <v>0</v>
      </c>
      <c r="S4352">
        <v>0</v>
      </c>
      <c r="T4352">
        <v>0</v>
      </c>
      <c r="V4352">
        <v>0</v>
      </c>
      <c r="W4352" t="s">
        <v>1001</v>
      </c>
    </row>
    <row r="4353" spans="1:23" x14ac:dyDescent="0.25">
      <c r="H4353">
        <v>703</v>
      </c>
    </row>
    <row r="4354" spans="1:23" x14ac:dyDescent="0.25">
      <c r="A4354">
        <v>2174</v>
      </c>
      <c r="B4354">
        <v>1653</v>
      </c>
      <c r="C4354" t="s">
        <v>5889</v>
      </c>
      <c r="D4354" t="s">
        <v>20</v>
      </c>
      <c r="E4354" t="s">
        <v>207</v>
      </c>
      <c r="F4354" t="s">
        <v>5890</v>
      </c>
      <c r="G4354" t="str">
        <f>"00171770"</f>
        <v>00171770</v>
      </c>
      <c r="H4354" t="s">
        <v>1001</v>
      </c>
      <c r="I4354">
        <v>0</v>
      </c>
      <c r="J4354">
        <v>0</v>
      </c>
      <c r="K4354">
        <v>0</v>
      </c>
      <c r="L4354">
        <v>0</v>
      </c>
      <c r="M4354">
        <v>0</v>
      </c>
      <c r="N4354">
        <v>0</v>
      </c>
      <c r="O4354">
        <v>0</v>
      </c>
      <c r="P4354">
        <v>0</v>
      </c>
      <c r="Q4354">
        <v>0</v>
      </c>
      <c r="R4354">
        <v>0</v>
      </c>
      <c r="S4354">
        <v>0</v>
      </c>
      <c r="T4354">
        <v>0</v>
      </c>
      <c r="V4354">
        <v>0</v>
      </c>
      <c r="W4354" t="s">
        <v>1001</v>
      </c>
    </row>
    <row r="4355" spans="1:23" x14ac:dyDescent="0.25">
      <c r="H4355">
        <v>703</v>
      </c>
    </row>
    <row r="4356" spans="1:23" x14ac:dyDescent="0.25">
      <c r="A4356">
        <v>2175</v>
      </c>
      <c r="B4356">
        <v>643</v>
      </c>
      <c r="C4356" t="s">
        <v>4398</v>
      </c>
      <c r="D4356" t="s">
        <v>5891</v>
      </c>
      <c r="E4356" t="s">
        <v>15</v>
      </c>
      <c r="F4356" t="s">
        <v>5892</v>
      </c>
      <c r="G4356" t="str">
        <f>"00228744"</f>
        <v>00228744</v>
      </c>
      <c r="H4356" t="s">
        <v>1001</v>
      </c>
      <c r="I4356">
        <v>0</v>
      </c>
      <c r="J4356">
        <v>0</v>
      </c>
      <c r="K4356">
        <v>0</v>
      </c>
      <c r="L4356">
        <v>0</v>
      </c>
      <c r="M4356">
        <v>0</v>
      </c>
      <c r="N4356">
        <v>0</v>
      </c>
      <c r="O4356">
        <v>0</v>
      </c>
      <c r="P4356">
        <v>0</v>
      </c>
      <c r="Q4356">
        <v>0</v>
      </c>
      <c r="R4356">
        <v>0</v>
      </c>
      <c r="S4356">
        <v>0</v>
      </c>
      <c r="T4356">
        <v>0</v>
      </c>
      <c r="V4356">
        <v>0</v>
      </c>
      <c r="W4356" t="s">
        <v>1001</v>
      </c>
    </row>
    <row r="4357" spans="1:23" x14ac:dyDescent="0.25">
      <c r="H4357" t="s">
        <v>70</v>
      </c>
    </row>
    <row r="4358" spans="1:23" x14ac:dyDescent="0.25">
      <c r="A4358">
        <v>2176</v>
      </c>
      <c r="B4358">
        <v>783</v>
      </c>
      <c r="C4358" t="s">
        <v>5893</v>
      </c>
      <c r="D4358" t="s">
        <v>722</v>
      </c>
      <c r="E4358" t="s">
        <v>79</v>
      </c>
      <c r="F4358" t="s">
        <v>5894</v>
      </c>
      <c r="G4358" t="str">
        <f>"201405000517"</f>
        <v>201405000517</v>
      </c>
      <c r="H4358">
        <v>605</v>
      </c>
      <c r="I4358">
        <v>150</v>
      </c>
      <c r="J4358">
        <v>50</v>
      </c>
      <c r="K4358">
        <v>0</v>
      </c>
      <c r="L4358">
        <v>0</v>
      </c>
      <c r="M4358">
        <v>0</v>
      </c>
      <c r="N4358">
        <v>0</v>
      </c>
      <c r="O4358">
        <v>0</v>
      </c>
      <c r="P4358">
        <v>0</v>
      </c>
      <c r="Q4358">
        <v>0</v>
      </c>
      <c r="R4358">
        <v>13</v>
      </c>
      <c r="S4358">
        <v>91</v>
      </c>
      <c r="T4358">
        <v>0</v>
      </c>
      <c r="V4358">
        <v>0</v>
      </c>
      <c r="W4358">
        <v>896</v>
      </c>
    </row>
    <row r="4359" spans="1:23" x14ac:dyDescent="0.25">
      <c r="H4359" t="s">
        <v>26</v>
      </c>
    </row>
    <row r="4360" spans="1:23" x14ac:dyDescent="0.25">
      <c r="A4360">
        <v>2177</v>
      </c>
      <c r="B4360">
        <v>698</v>
      </c>
      <c r="C4360" t="s">
        <v>5895</v>
      </c>
      <c r="D4360" t="s">
        <v>5896</v>
      </c>
      <c r="E4360" t="s">
        <v>2933</v>
      </c>
      <c r="F4360" t="s">
        <v>5897</v>
      </c>
      <c r="G4360" t="str">
        <f>"00229451"</f>
        <v>00229451</v>
      </c>
      <c r="H4360">
        <v>550</v>
      </c>
      <c r="I4360">
        <v>150</v>
      </c>
      <c r="J4360">
        <v>0</v>
      </c>
      <c r="K4360">
        <v>0</v>
      </c>
      <c r="L4360">
        <v>0</v>
      </c>
      <c r="M4360">
        <v>0</v>
      </c>
      <c r="N4360">
        <v>0</v>
      </c>
      <c r="O4360">
        <v>0</v>
      </c>
      <c r="P4360">
        <v>0</v>
      </c>
      <c r="Q4360">
        <v>0</v>
      </c>
      <c r="R4360">
        <v>28</v>
      </c>
      <c r="S4360">
        <v>196</v>
      </c>
      <c r="T4360">
        <v>0</v>
      </c>
      <c r="V4360">
        <v>0</v>
      </c>
      <c r="W4360">
        <v>896</v>
      </c>
    </row>
    <row r="4361" spans="1:23" x14ac:dyDescent="0.25">
      <c r="H4361">
        <v>703</v>
      </c>
    </row>
    <row r="4362" spans="1:23" x14ac:dyDescent="0.25">
      <c r="A4362">
        <v>2178</v>
      </c>
      <c r="B4362">
        <v>2409</v>
      </c>
      <c r="C4362" t="s">
        <v>5898</v>
      </c>
      <c r="D4362" t="s">
        <v>392</v>
      </c>
      <c r="E4362" t="s">
        <v>1818</v>
      </c>
      <c r="F4362" t="s">
        <v>5899</v>
      </c>
      <c r="G4362" t="str">
        <f>"200807000384"</f>
        <v>200807000384</v>
      </c>
      <c r="H4362">
        <v>825</v>
      </c>
      <c r="I4362">
        <v>0</v>
      </c>
      <c r="J4362">
        <v>70</v>
      </c>
      <c r="K4362">
        <v>0</v>
      </c>
      <c r="L4362">
        <v>0</v>
      </c>
      <c r="M4362">
        <v>0</v>
      </c>
      <c r="N4362">
        <v>0</v>
      </c>
      <c r="O4362">
        <v>0</v>
      </c>
      <c r="P4362">
        <v>0</v>
      </c>
      <c r="Q4362">
        <v>0</v>
      </c>
      <c r="R4362">
        <v>0</v>
      </c>
      <c r="S4362">
        <v>0</v>
      </c>
      <c r="T4362">
        <v>0</v>
      </c>
      <c r="V4362">
        <v>0</v>
      </c>
      <c r="W4362">
        <v>895</v>
      </c>
    </row>
    <row r="4363" spans="1:23" x14ac:dyDescent="0.25">
      <c r="H4363">
        <v>703</v>
      </c>
    </row>
    <row r="4364" spans="1:23" x14ac:dyDescent="0.25">
      <c r="A4364">
        <v>2179</v>
      </c>
      <c r="B4364">
        <v>2538</v>
      </c>
      <c r="C4364" t="s">
        <v>5900</v>
      </c>
      <c r="D4364" t="s">
        <v>140</v>
      </c>
      <c r="E4364" t="s">
        <v>105</v>
      </c>
      <c r="F4364" t="s">
        <v>5901</v>
      </c>
      <c r="G4364" t="str">
        <f>"00162304"</f>
        <v>00162304</v>
      </c>
      <c r="H4364">
        <v>715</v>
      </c>
      <c r="I4364">
        <v>150</v>
      </c>
      <c r="J4364">
        <v>30</v>
      </c>
      <c r="K4364">
        <v>0</v>
      </c>
      <c r="L4364">
        <v>0</v>
      </c>
      <c r="M4364">
        <v>0</v>
      </c>
      <c r="N4364">
        <v>0</v>
      </c>
      <c r="O4364">
        <v>0</v>
      </c>
      <c r="P4364">
        <v>0</v>
      </c>
      <c r="Q4364">
        <v>0</v>
      </c>
      <c r="R4364">
        <v>0</v>
      </c>
      <c r="S4364">
        <v>0</v>
      </c>
      <c r="T4364">
        <v>0</v>
      </c>
      <c r="V4364">
        <v>0</v>
      </c>
      <c r="W4364">
        <v>895</v>
      </c>
    </row>
    <row r="4365" spans="1:23" x14ac:dyDescent="0.25">
      <c r="H4365">
        <v>703</v>
      </c>
    </row>
    <row r="4366" spans="1:23" x14ac:dyDescent="0.25">
      <c r="A4366">
        <v>2180</v>
      </c>
      <c r="B4366">
        <v>436</v>
      </c>
      <c r="C4366" t="s">
        <v>5219</v>
      </c>
      <c r="D4366" t="s">
        <v>5902</v>
      </c>
      <c r="E4366" t="s">
        <v>708</v>
      </c>
      <c r="F4366" t="s">
        <v>5903</v>
      </c>
      <c r="G4366" t="str">
        <f>"00227598"</f>
        <v>00227598</v>
      </c>
      <c r="H4366">
        <v>715</v>
      </c>
      <c r="I4366">
        <v>150</v>
      </c>
      <c r="J4366">
        <v>30</v>
      </c>
      <c r="K4366">
        <v>0</v>
      </c>
      <c r="L4366">
        <v>0</v>
      </c>
      <c r="M4366">
        <v>0</v>
      </c>
      <c r="N4366">
        <v>0</v>
      </c>
      <c r="O4366">
        <v>0</v>
      </c>
      <c r="P4366">
        <v>0</v>
      </c>
      <c r="Q4366">
        <v>0</v>
      </c>
      <c r="R4366">
        <v>0</v>
      </c>
      <c r="S4366">
        <v>0</v>
      </c>
      <c r="T4366">
        <v>0</v>
      </c>
      <c r="V4366">
        <v>0</v>
      </c>
      <c r="W4366">
        <v>895</v>
      </c>
    </row>
    <row r="4367" spans="1:23" x14ac:dyDescent="0.25">
      <c r="H4367" t="s">
        <v>26</v>
      </c>
    </row>
    <row r="4368" spans="1:23" x14ac:dyDescent="0.25">
      <c r="A4368">
        <v>2181</v>
      </c>
      <c r="B4368">
        <v>2368</v>
      </c>
      <c r="C4368" t="s">
        <v>5904</v>
      </c>
      <c r="D4368" t="s">
        <v>46</v>
      </c>
      <c r="E4368" t="s">
        <v>99</v>
      </c>
      <c r="F4368" t="s">
        <v>5905</v>
      </c>
      <c r="G4368" t="str">
        <f>"201412001631"</f>
        <v>201412001631</v>
      </c>
      <c r="H4368" t="s">
        <v>1742</v>
      </c>
      <c r="I4368">
        <v>0</v>
      </c>
      <c r="J4368">
        <v>30</v>
      </c>
      <c r="K4368">
        <v>0</v>
      </c>
      <c r="L4368">
        <v>0</v>
      </c>
      <c r="M4368">
        <v>0</v>
      </c>
      <c r="N4368">
        <v>0</v>
      </c>
      <c r="O4368">
        <v>0</v>
      </c>
      <c r="P4368">
        <v>0</v>
      </c>
      <c r="Q4368">
        <v>0</v>
      </c>
      <c r="R4368">
        <v>12</v>
      </c>
      <c r="S4368">
        <v>84</v>
      </c>
      <c r="T4368">
        <v>0</v>
      </c>
      <c r="V4368">
        <v>0</v>
      </c>
      <c r="W4368" t="s">
        <v>5906</v>
      </c>
    </row>
    <row r="4369" spans="1:23" x14ac:dyDescent="0.25">
      <c r="H4369">
        <v>703</v>
      </c>
    </row>
    <row r="4370" spans="1:23" x14ac:dyDescent="0.25">
      <c r="A4370">
        <v>2182</v>
      </c>
      <c r="B4370">
        <v>1550</v>
      </c>
      <c r="C4370" t="s">
        <v>5907</v>
      </c>
      <c r="D4370" t="s">
        <v>361</v>
      </c>
      <c r="E4370" t="s">
        <v>1147</v>
      </c>
      <c r="F4370" t="s">
        <v>5908</v>
      </c>
      <c r="G4370" t="str">
        <f>"00229051"</f>
        <v>00229051</v>
      </c>
      <c r="H4370" t="s">
        <v>2186</v>
      </c>
      <c r="I4370">
        <v>0</v>
      </c>
      <c r="J4370">
        <v>30</v>
      </c>
      <c r="K4370">
        <v>0</v>
      </c>
      <c r="L4370">
        <v>0</v>
      </c>
      <c r="M4370">
        <v>0</v>
      </c>
      <c r="N4370">
        <v>0</v>
      </c>
      <c r="O4370">
        <v>0</v>
      </c>
      <c r="P4370">
        <v>0</v>
      </c>
      <c r="Q4370">
        <v>0</v>
      </c>
      <c r="R4370">
        <v>0</v>
      </c>
      <c r="S4370">
        <v>0</v>
      </c>
      <c r="T4370">
        <v>0</v>
      </c>
      <c r="V4370">
        <v>0</v>
      </c>
      <c r="W4370" t="s">
        <v>5909</v>
      </c>
    </row>
    <row r="4371" spans="1:23" x14ac:dyDescent="0.25">
      <c r="H4371" t="s">
        <v>26</v>
      </c>
    </row>
    <row r="4372" spans="1:23" x14ac:dyDescent="0.25">
      <c r="A4372">
        <v>2183</v>
      </c>
      <c r="B4372">
        <v>3187</v>
      </c>
      <c r="C4372" t="s">
        <v>5910</v>
      </c>
      <c r="D4372" t="s">
        <v>33</v>
      </c>
      <c r="E4372" t="s">
        <v>109</v>
      </c>
      <c r="F4372" t="s">
        <v>5911</v>
      </c>
      <c r="G4372" t="str">
        <f>"00113017"</f>
        <v>00113017</v>
      </c>
      <c r="H4372" t="s">
        <v>2186</v>
      </c>
      <c r="I4372">
        <v>0</v>
      </c>
      <c r="J4372">
        <v>30</v>
      </c>
      <c r="K4372">
        <v>0</v>
      </c>
      <c r="L4372">
        <v>0</v>
      </c>
      <c r="M4372">
        <v>0</v>
      </c>
      <c r="N4372">
        <v>0</v>
      </c>
      <c r="O4372">
        <v>0</v>
      </c>
      <c r="P4372">
        <v>0</v>
      </c>
      <c r="Q4372">
        <v>0</v>
      </c>
      <c r="R4372">
        <v>0</v>
      </c>
      <c r="S4372">
        <v>0</v>
      </c>
      <c r="T4372">
        <v>0</v>
      </c>
      <c r="V4372">
        <v>0</v>
      </c>
      <c r="W4372" t="s">
        <v>5909</v>
      </c>
    </row>
    <row r="4373" spans="1:23" x14ac:dyDescent="0.25">
      <c r="H4373">
        <v>703</v>
      </c>
    </row>
    <row r="4374" spans="1:23" x14ac:dyDescent="0.25">
      <c r="A4374">
        <v>2184</v>
      </c>
      <c r="B4374">
        <v>1202</v>
      </c>
      <c r="C4374" t="s">
        <v>5912</v>
      </c>
      <c r="D4374" t="s">
        <v>140</v>
      </c>
      <c r="E4374" t="s">
        <v>478</v>
      </c>
      <c r="F4374" t="s">
        <v>5913</v>
      </c>
      <c r="G4374" t="str">
        <f>"200712005597"</f>
        <v>200712005597</v>
      </c>
      <c r="H4374">
        <v>792</v>
      </c>
      <c r="I4374">
        <v>0</v>
      </c>
      <c r="J4374">
        <v>70</v>
      </c>
      <c r="K4374">
        <v>0</v>
      </c>
      <c r="L4374">
        <v>0</v>
      </c>
      <c r="M4374">
        <v>0</v>
      </c>
      <c r="N4374">
        <v>30</v>
      </c>
      <c r="O4374">
        <v>0</v>
      </c>
      <c r="P4374">
        <v>0</v>
      </c>
      <c r="Q4374">
        <v>0</v>
      </c>
      <c r="R4374">
        <v>0</v>
      </c>
      <c r="S4374">
        <v>0</v>
      </c>
      <c r="T4374">
        <v>0</v>
      </c>
      <c r="V4374">
        <v>2</v>
      </c>
      <c r="W4374">
        <v>892</v>
      </c>
    </row>
    <row r="4375" spans="1:23" x14ac:dyDescent="0.25">
      <c r="H4375" t="s">
        <v>70</v>
      </c>
    </row>
    <row r="4376" spans="1:23" x14ac:dyDescent="0.25">
      <c r="A4376">
        <v>2185</v>
      </c>
      <c r="B4376">
        <v>32</v>
      </c>
      <c r="C4376" t="s">
        <v>5914</v>
      </c>
      <c r="D4376" t="s">
        <v>722</v>
      </c>
      <c r="E4376" t="s">
        <v>424</v>
      </c>
      <c r="F4376" t="s">
        <v>5915</v>
      </c>
      <c r="G4376" t="str">
        <f>"201511037776"</f>
        <v>201511037776</v>
      </c>
      <c r="H4376">
        <v>825</v>
      </c>
      <c r="I4376">
        <v>0</v>
      </c>
      <c r="J4376">
        <v>30</v>
      </c>
      <c r="K4376">
        <v>0</v>
      </c>
      <c r="L4376">
        <v>0</v>
      </c>
      <c r="M4376">
        <v>0</v>
      </c>
      <c r="N4376">
        <v>0</v>
      </c>
      <c r="O4376">
        <v>0</v>
      </c>
      <c r="P4376">
        <v>0</v>
      </c>
      <c r="Q4376">
        <v>0</v>
      </c>
      <c r="R4376">
        <v>5</v>
      </c>
      <c r="S4376">
        <v>35</v>
      </c>
      <c r="T4376">
        <v>0</v>
      </c>
      <c r="V4376">
        <v>0</v>
      </c>
      <c r="W4376">
        <v>890</v>
      </c>
    </row>
    <row r="4377" spans="1:23" x14ac:dyDescent="0.25">
      <c r="H4377">
        <v>703</v>
      </c>
    </row>
    <row r="4378" spans="1:23" x14ac:dyDescent="0.25">
      <c r="A4378">
        <v>2186</v>
      </c>
      <c r="B4378">
        <v>3174</v>
      </c>
      <c r="C4378" t="s">
        <v>5916</v>
      </c>
      <c r="D4378" t="s">
        <v>5917</v>
      </c>
      <c r="E4378" t="s">
        <v>21</v>
      </c>
      <c r="F4378" t="s">
        <v>5918</v>
      </c>
      <c r="G4378" t="str">
        <f>"201406000093"</f>
        <v>201406000093</v>
      </c>
      <c r="H4378">
        <v>825</v>
      </c>
      <c r="I4378">
        <v>0</v>
      </c>
      <c r="J4378">
        <v>30</v>
      </c>
      <c r="K4378">
        <v>0</v>
      </c>
      <c r="L4378">
        <v>0</v>
      </c>
      <c r="M4378">
        <v>0</v>
      </c>
      <c r="N4378">
        <v>0</v>
      </c>
      <c r="O4378">
        <v>0</v>
      </c>
      <c r="P4378">
        <v>0</v>
      </c>
      <c r="Q4378">
        <v>0</v>
      </c>
      <c r="R4378">
        <v>5</v>
      </c>
      <c r="S4378">
        <v>35</v>
      </c>
      <c r="T4378">
        <v>0</v>
      </c>
      <c r="V4378">
        <v>0</v>
      </c>
      <c r="W4378">
        <v>890</v>
      </c>
    </row>
    <row r="4379" spans="1:23" x14ac:dyDescent="0.25">
      <c r="H4379">
        <v>703</v>
      </c>
    </row>
    <row r="4380" spans="1:23" x14ac:dyDescent="0.25">
      <c r="A4380">
        <v>2187</v>
      </c>
      <c r="B4380">
        <v>2500</v>
      </c>
      <c r="C4380" t="s">
        <v>5919</v>
      </c>
      <c r="D4380" t="s">
        <v>302</v>
      </c>
      <c r="E4380" t="s">
        <v>91</v>
      </c>
      <c r="F4380" t="s">
        <v>5920</v>
      </c>
      <c r="G4380" t="str">
        <f>"201507005293"</f>
        <v>201507005293</v>
      </c>
      <c r="H4380">
        <v>770</v>
      </c>
      <c r="I4380">
        <v>0</v>
      </c>
      <c r="J4380">
        <v>70</v>
      </c>
      <c r="K4380">
        <v>0</v>
      </c>
      <c r="L4380">
        <v>0</v>
      </c>
      <c r="M4380">
        <v>0</v>
      </c>
      <c r="N4380">
        <v>0</v>
      </c>
      <c r="O4380">
        <v>0</v>
      </c>
      <c r="P4380">
        <v>0</v>
      </c>
      <c r="Q4380">
        <v>0</v>
      </c>
      <c r="R4380">
        <v>7</v>
      </c>
      <c r="S4380">
        <v>49</v>
      </c>
      <c r="T4380">
        <v>0</v>
      </c>
      <c r="V4380">
        <v>0</v>
      </c>
      <c r="W4380">
        <v>889</v>
      </c>
    </row>
    <row r="4381" spans="1:23" x14ac:dyDescent="0.25">
      <c r="H4381">
        <v>703</v>
      </c>
    </row>
    <row r="4382" spans="1:23" x14ac:dyDescent="0.25">
      <c r="A4382">
        <v>2188</v>
      </c>
      <c r="B4382">
        <v>1200</v>
      </c>
      <c r="C4382" t="s">
        <v>5921</v>
      </c>
      <c r="D4382" t="s">
        <v>135</v>
      </c>
      <c r="E4382" t="s">
        <v>15</v>
      </c>
      <c r="F4382" t="s">
        <v>5922</v>
      </c>
      <c r="G4382" t="str">
        <f>"00140607"</f>
        <v>00140607</v>
      </c>
      <c r="H4382">
        <v>858</v>
      </c>
      <c r="I4382">
        <v>0</v>
      </c>
      <c r="J4382">
        <v>30</v>
      </c>
      <c r="K4382">
        <v>0</v>
      </c>
      <c r="L4382">
        <v>0</v>
      </c>
      <c r="M4382">
        <v>0</v>
      </c>
      <c r="N4382">
        <v>0</v>
      </c>
      <c r="O4382">
        <v>0</v>
      </c>
      <c r="P4382">
        <v>0</v>
      </c>
      <c r="Q4382">
        <v>0</v>
      </c>
      <c r="R4382">
        <v>0</v>
      </c>
      <c r="S4382">
        <v>0</v>
      </c>
      <c r="T4382">
        <v>0</v>
      </c>
      <c r="V4382">
        <v>0</v>
      </c>
      <c r="W4382">
        <v>888</v>
      </c>
    </row>
    <row r="4383" spans="1:23" x14ac:dyDescent="0.25">
      <c r="H4383">
        <v>703</v>
      </c>
    </row>
    <row r="4384" spans="1:23" x14ac:dyDescent="0.25">
      <c r="A4384">
        <v>2189</v>
      </c>
      <c r="B4384">
        <v>1626</v>
      </c>
      <c r="C4384" t="s">
        <v>5923</v>
      </c>
      <c r="D4384" t="s">
        <v>99</v>
      </c>
      <c r="E4384" t="s">
        <v>113</v>
      </c>
      <c r="F4384" t="s">
        <v>5924</v>
      </c>
      <c r="G4384" t="str">
        <f>"00009707"</f>
        <v>00009707</v>
      </c>
      <c r="H4384">
        <v>858</v>
      </c>
      <c r="I4384">
        <v>0</v>
      </c>
      <c r="J4384">
        <v>30</v>
      </c>
      <c r="K4384">
        <v>0</v>
      </c>
      <c r="L4384">
        <v>0</v>
      </c>
      <c r="M4384">
        <v>0</v>
      </c>
      <c r="N4384">
        <v>0</v>
      </c>
      <c r="O4384">
        <v>0</v>
      </c>
      <c r="P4384">
        <v>0</v>
      </c>
      <c r="Q4384">
        <v>0</v>
      </c>
      <c r="R4384">
        <v>0</v>
      </c>
      <c r="S4384">
        <v>0</v>
      </c>
      <c r="T4384">
        <v>0</v>
      </c>
      <c r="V4384">
        <v>0</v>
      </c>
      <c r="W4384">
        <v>888</v>
      </c>
    </row>
    <row r="4385" spans="1:23" x14ac:dyDescent="0.25">
      <c r="H4385">
        <v>703</v>
      </c>
    </row>
    <row r="4386" spans="1:23" x14ac:dyDescent="0.25">
      <c r="A4386">
        <v>2190</v>
      </c>
      <c r="B4386">
        <v>1029</v>
      </c>
      <c r="C4386" t="s">
        <v>5925</v>
      </c>
      <c r="D4386" t="s">
        <v>67</v>
      </c>
      <c r="E4386" t="s">
        <v>105</v>
      </c>
      <c r="F4386" t="s">
        <v>5926</v>
      </c>
      <c r="G4386" t="str">
        <f>"201211000056"</f>
        <v>201211000056</v>
      </c>
      <c r="H4386">
        <v>704</v>
      </c>
      <c r="I4386">
        <v>0</v>
      </c>
      <c r="J4386">
        <v>0</v>
      </c>
      <c r="K4386">
        <v>0</v>
      </c>
      <c r="L4386">
        <v>0</v>
      </c>
      <c r="M4386">
        <v>0</v>
      </c>
      <c r="N4386">
        <v>0</v>
      </c>
      <c r="O4386">
        <v>0</v>
      </c>
      <c r="P4386">
        <v>0</v>
      </c>
      <c r="Q4386">
        <v>0</v>
      </c>
      <c r="R4386">
        <v>26</v>
      </c>
      <c r="S4386">
        <v>182</v>
      </c>
      <c r="T4386">
        <v>0</v>
      </c>
      <c r="V4386">
        <v>2</v>
      </c>
      <c r="W4386">
        <v>886</v>
      </c>
    </row>
    <row r="4387" spans="1:23" x14ac:dyDescent="0.25">
      <c r="H4387">
        <v>703</v>
      </c>
    </row>
    <row r="4388" spans="1:23" x14ac:dyDescent="0.25">
      <c r="A4388">
        <v>2191</v>
      </c>
      <c r="B4388">
        <v>906</v>
      </c>
      <c r="C4388" t="s">
        <v>5927</v>
      </c>
      <c r="D4388" t="s">
        <v>5928</v>
      </c>
      <c r="E4388" t="s">
        <v>15</v>
      </c>
      <c r="F4388" t="s">
        <v>5929</v>
      </c>
      <c r="G4388" t="str">
        <f>"201511005701"</f>
        <v>201511005701</v>
      </c>
      <c r="H4388" t="s">
        <v>1238</v>
      </c>
      <c r="I4388">
        <v>0</v>
      </c>
      <c r="J4388">
        <v>0</v>
      </c>
      <c r="K4388">
        <v>0</v>
      </c>
      <c r="L4388">
        <v>0</v>
      </c>
      <c r="M4388">
        <v>0</v>
      </c>
      <c r="N4388">
        <v>0</v>
      </c>
      <c r="O4388">
        <v>0</v>
      </c>
      <c r="P4388">
        <v>0</v>
      </c>
      <c r="Q4388">
        <v>0</v>
      </c>
      <c r="R4388">
        <v>0</v>
      </c>
      <c r="S4388">
        <v>0</v>
      </c>
      <c r="T4388">
        <v>0</v>
      </c>
      <c r="V4388">
        <v>0</v>
      </c>
      <c r="W4388" t="s">
        <v>1238</v>
      </c>
    </row>
    <row r="4389" spans="1:23" x14ac:dyDescent="0.25">
      <c r="H4389">
        <v>703</v>
      </c>
    </row>
    <row r="4390" spans="1:23" x14ac:dyDescent="0.25">
      <c r="A4390">
        <v>2192</v>
      </c>
      <c r="B4390">
        <v>2144</v>
      </c>
      <c r="C4390" t="s">
        <v>5930</v>
      </c>
      <c r="D4390" t="s">
        <v>478</v>
      </c>
      <c r="E4390" t="s">
        <v>68</v>
      </c>
      <c r="F4390" t="s">
        <v>5931</v>
      </c>
      <c r="G4390" t="str">
        <f>"00077176"</f>
        <v>00077176</v>
      </c>
      <c r="H4390">
        <v>770</v>
      </c>
      <c r="I4390">
        <v>0</v>
      </c>
      <c r="J4390">
        <v>30</v>
      </c>
      <c r="K4390">
        <v>0</v>
      </c>
      <c r="L4390">
        <v>0</v>
      </c>
      <c r="M4390">
        <v>0</v>
      </c>
      <c r="N4390">
        <v>0</v>
      </c>
      <c r="O4390">
        <v>0</v>
      </c>
      <c r="P4390">
        <v>0</v>
      </c>
      <c r="Q4390">
        <v>0</v>
      </c>
      <c r="R4390">
        <v>12</v>
      </c>
      <c r="S4390">
        <v>84</v>
      </c>
      <c r="T4390">
        <v>0</v>
      </c>
      <c r="V4390">
        <v>0</v>
      </c>
      <c r="W4390">
        <v>884</v>
      </c>
    </row>
    <row r="4391" spans="1:23" x14ac:dyDescent="0.25">
      <c r="H4391" t="s">
        <v>26</v>
      </c>
    </row>
    <row r="4392" spans="1:23" x14ac:dyDescent="0.25">
      <c r="A4392">
        <v>2193</v>
      </c>
      <c r="B4392">
        <v>2357</v>
      </c>
      <c r="C4392" t="s">
        <v>5932</v>
      </c>
      <c r="D4392" t="s">
        <v>3230</v>
      </c>
      <c r="E4392" t="s">
        <v>99</v>
      </c>
      <c r="F4392" t="s">
        <v>5933</v>
      </c>
      <c r="G4392" t="str">
        <f>"00224247"</f>
        <v>00224247</v>
      </c>
      <c r="H4392" t="s">
        <v>1359</v>
      </c>
      <c r="I4392">
        <v>0</v>
      </c>
      <c r="J4392">
        <v>30</v>
      </c>
      <c r="K4392">
        <v>0</v>
      </c>
      <c r="L4392">
        <v>0</v>
      </c>
      <c r="M4392">
        <v>0</v>
      </c>
      <c r="N4392">
        <v>0</v>
      </c>
      <c r="O4392">
        <v>0</v>
      </c>
      <c r="P4392">
        <v>0</v>
      </c>
      <c r="Q4392">
        <v>0</v>
      </c>
      <c r="R4392">
        <v>0</v>
      </c>
      <c r="S4392">
        <v>0</v>
      </c>
      <c r="T4392">
        <v>0</v>
      </c>
      <c r="V4392">
        <v>0</v>
      </c>
      <c r="W4392" t="s">
        <v>5934</v>
      </c>
    </row>
    <row r="4393" spans="1:23" x14ac:dyDescent="0.25">
      <c r="H4393" t="s">
        <v>26</v>
      </c>
    </row>
    <row r="4394" spans="1:23" x14ac:dyDescent="0.25">
      <c r="A4394">
        <v>2194</v>
      </c>
      <c r="B4394">
        <v>1343</v>
      </c>
      <c r="C4394" t="s">
        <v>5935</v>
      </c>
      <c r="D4394" t="s">
        <v>369</v>
      </c>
      <c r="E4394" t="s">
        <v>15</v>
      </c>
      <c r="F4394" t="s">
        <v>5936</v>
      </c>
      <c r="G4394" t="str">
        <f>"201506003607"</f>
        <v>201506003607</v>
      </c>
      <c r="H4394" t="s">
        <v>1359</v>
      </c>
      <c r="I4394">
        <v>0</v>
      </c>
      <c r="J4394">
        <v>30</v>
      </c>
      <c r="K4394">
        <v>0</v>
      </c>
      <c r="L4394">
        <v>0</v>
      </c>
      <c r="M4394">
        <v>0</v>
      </c>
      <c r="N4394">
        <v>0</v>
      </c>
      <c r="O4394">
        <v>0</v>
      </c>
      <c r="P4394">
        <v>0</v>
      </c>
      <c r="Q4394">
        <v>0</v>
      </c>
      <c r="R4394">
        <v>0</v>
      </c>
      <c r="S4394">
        <v>0</v>
      </c>
      <c r="T4394">
        <v>0</v>
      </c>
      <c r="V4394">
        <v>0</v>
      </c>
      <c r="W4394" t="s">
        <v>5934</v>
      </c>
    </row>
    <row r="4395" spans="1:23" x14ac:dyDescent="0.25">
      <c r="H4395">
        <v>703</v>
      </c>
    </row>
    <row r="4396" spans="1:23" x14ac:dyDescent="0.25">
      <c r="A4396">
        <v>2195</v>
      </c>
      <c r="B4396">
        <v>2109</v>
      </c>
      <c r="C4396" t="s">
        <v>103</v>
      </c>
      <c r="D4396" t="s">
        <v>344</v>
      </c>
      <c r="E4396" t="s">
        <v>607</v>
      </c>
      <c r="F4396" t="s">
        <v>5937</v>
      </c>
      <c r="G4396" t="str">
        <f>"00228976"</f>
        <v>00228976</v>
      </c>
      <c r="H4396" t="s">
        <v>1359</v>
      </c>
      <c r="I4396">
        <v>0</v>
      </c>
      <c r="J4396">
        <v>30</v>
      </c>
      <c r="K4396">
        <v>0</v>
      </c>
      <c r="L4396">
        <v>0</v>
      </c>
      <c r="M4396">
        <v>0</v>
      </c>
      <c r="N4396">
        <v>0</v>
      </c>
      <c r="O4396">
        <v>0</v>
      </c>
      <c r="P4396">
        <v>0</v>
      </c>
      <c r="Q4396">
        <v>0</v>
      </c>
      <c r="R4396">
        <v>0</v>
      </c>
      <c r="S4396">
        <v>0</v>
      </c>
      <c r="T4396">
        <v>0</v>
      </c>
      <c r="V4396">
        <v>0</v>
      </c>
      <c r="W4396" t="s">
        <v>5934</v>
      </c>
    </row>
    <row r="4397" spans="1:23" x14ac:dyDescent="0.25">
      <c r="H4397">
        <v>703</v>
      </c>
    </row>
    <row r="4398" spans="1:23" x14ac:dyDescent="0.25">
      <c r="A4398">
        <v>2196</v>
      </c>
      <c r="B4398">
        <v>2536</v>
      </c>
      <c r="C4398" t="s">
        <v>4396</v>
      </c>
      <c r="D4398" t="s">
        <v>226</v>
      </c>
      <c r="E4398" t="s">
        <v>91</v>
      </c>
      <c r="F4398" t="s">
        <v>5938</v>
      </c>
      <c r="G4398" t="str">
        <f>"00227367"</f>
        <v>00227367</v>
      </c>
      <c r="H4398">
        <v>847</v>
      </c>
      <c r="I4398">
        <v>0</v>
      </c>
      <c r="J4398">
        <v>0</v>
      </c>
      <c r="K4398">
        <v>0</v>
      </c>
      <c r="L4398">
        <v>0</v>
      </c>
      <c r="M4398">
        <v>0</v>
      </c>
      <c r="N4398">
        <v>0</v>
      </c>
      <c r="O4398">
        <v>0</v>
      </c>
      <c r="P4398">
        <v>0</v>
      </c>
      <c r="Q4398">
        <v>0</v>
      </c>
      <c r="R4398">
        <v>5</v>
      </c>
      <c r="S4398">
        <v>35</v>
      </c>
      <c r="T4398">
        <v>0</v>
      </c>
      <c r="V4398">
        <v>0</v>
      </c>
      <c r="W4398">
        <v>882</v>
      </c>
    </row>
    <row r="4399" spans="1:23" x14ac:dyDescent="0.25">
      <c r="H4399">
        <v>703</v>
      </c>
    </row>
    <row r="4400" spans="1:23" x14ac:dyDescent="0.25">
      <c r="A4400">
        <v>2197</v>
      </c>
      <c r="B4400">
        <v>1447</v>
      </c>
      <c r="C4400" t="s">
        <v>5939</v>
      </c>
      <c r="D4400" t="s">
        <v>325</v>
      </c>
      <c r="E4400" t="s">
        <v>79</v>
      </c>
      <c r="F4400" t="s">
        <v>5940</v>
      </c>
      <c r="G4400" t="str">
        <f>"00140053"</f>
        <v>00140053</v>
      </c>
      <c r="H4400">
        <v>660</v>
      </c>
      <c r="I4400">
        <v>150</v>
      </c>
      <c r="J4400">
        <v>30</v>
      </c>
      <c r="K4400">
        <v>0</v>
      </c>
      <c r="L4400">
        <v>0</v>
      </c>
      <c r="M4400">
        <v>0</v>
      </c>
      <c r="N4400">
        <v>0</v>
      </c>
      <c r="O4400">
        <v>0</v>
      </c>
      <c r="P4400">
        <v>0</v>
      </c>
      <c r="Q4400">
        <v>0</v>
      </c>
      <c r="R4400">
        <v>6</v>
      </c>
      <c r="S4400">
        <v>42</v>
      </c>
      <c r="T4400">
        <v>0</v>
      </c>
      <c r="V4400">
        <v>0</v>
      </c>
      <c r="W4400">
        <v>882</v>
      </c>
    </row>
    <row r="4401" spans="1:23" x14ac:dyDescent="0.25">
      <c r="H4401" t="s">
        <v>26</v>
      </c>
    </row>
    <row r="4402" spans="1:23" x14ac:dyDescent="0.25">
      <c r="A4402">
        <v>2198</v>
      </c>
      <c r="B4402">
        <v>130</v>
      </c>
      <c r="C4402" t="s">
        <v>5941</v>
      </c>
      <c r="D4402" t="s">
        <v>14</v>
      </c>
      <c r="E4402" t="s">
        <v>47</v>
      </c>
      <c r="F4402" t="s">
        <v>5942</v>
      </c>
      <c r="G4402" t="str">
        <f>"201511017240"</f>
        <v>201511017240</v>
      </c>
      <c r="H4402">
        <v>880</v>
      </c>
      <c r="I4402">
        <v>0</v>
      </c>
      <c r="J4402">
        <v>0</v>
      </c>
      <c r="K4402">
        <v>0</v>
      </c>
      <c r="L4402">
        <v>0</v>
      </c>
      <c r="M4402">
        <v>0</v>
      </c>
      <c r="N4402">
        <v>0</v>
      </c>
      <c r="O4402">
        <v>0</v>
      </c>
      <c r="P4402">
        <v>0</v>
      </c>
      <c r="Q4402">
        <v>0</v>
      </c>
      <c r="R4402">
        <v>0</v>
      </c>
      <c r="S4402">
        <v>0</v>
      </c>
      <c r="T4402">
        <v>0</v>
      </c>
      <c r="V4402">
        <v>0</v>
      </c>
      <c r="W4402">
        <v>880</v>
      </c>
    </row>
    <row r="4403" spans="1:23" x14ac:dyDescent="0.25">
      <c r="H4403">
        <v>703</v>
      </c>
    </row>
    <row r="4404" spans="1:23" x14ac:dyDescent="0.25">
      <c r="A4404">
        <v>2199</v>
      </c>
      <c r="B4404">
        <v>726</v>
      </c>
      <c r="C4404" t="s">
        <v>5943</v>
      </c>
      <c r="D4404" t="s">
        <v>5944</v>
      </c>
      <c r="E4404" t="s">
        <v>21</v>
      </c>
      <c r="F4404" t="s">
        <v>5945</v>
      </c>
      <c r="G4404" t="str">
        <f>"00227951"</f>
        <v>00227951</v>
      </c>
      <c r="H4404">
        <v>880</v>
      </c>
      <c r="I4404">
        <v>0</v>
      </c>
      <c r="J4404">
        <v>0</v>
      </c>
      <c r="K4404">
        <v>0</v>
      </c>
      <c r="L4404">
        <v>0</v>
      </c>
      <c r="M4404">
        <v>0</v>
      </c>
      <c r="N4404">
        <v>0</v>
      </c>
      <c r="O4404">
        <v>0</v>
      </c>
      <c r="P4404">
        <v>0</v>
      </c>
      <c r="Q4404">
        <v>0</v>
      </c>
      <c r="R4404">
        <v>0</v>
      </c>
      <c r="S4404">
        <v>0</v>
      </c>
      <c r="T4404">
        <v>0</v>
      </c>
      <c r="V4404">
        <v>2</v>
      </c>
      <c r="W4404">
        <v>880</v>
      </c>
    </row>
    <row r="4405" spans="1:23" x14ac:dyDescent="0.25">
      <c r="H4405">
        <v>703</v>
      </c>
    </row>
    <row r="4406" spans="1:23" x14ac:dyDescent="0.25">
      <c r="A4406">
        <v>2200</v>
      </c>
      <c r="B4406">
        <v>2989</v>
      </c>
      <c r="C4406" t="s">
        <v>4387</v>
      </c>
      <c r="D4406" t="s">
        <v>2612</v>
      </c>
      <c r="E4406" t="s">
        <v>53</v>
      </c>
      <c r="F4406" t="s">
        <v>5946</v>
      </c>
      <c r="G4406" t="str">
        <f>"00107907"</f>
        <v>00107907</v>
      </c>
      <c r="H4406">
        <v>880</v>
      </c>
      <c r="I4406">
        <v>0</v>
      </c>
      <c r="J4406">
        <v>0</v>
      </c>
      <c r="K4406">
        <v>0</v>
      </c>
      <c r="L4406">
        <v>0</v>
      </c>
      <c r="M4406">
        <v>0</v>
      </c>
      <c r="N4406">
        <v>0</v>
      </c>
      <c r="O4406">
        <v>0</v>
      </c>
      <c r="P4406">
        <v>0</v>
      </c>
      <c r="Q4406">
        <v>0</v>
      </c>
      <c r="R4406">
        <v>0</v>
      </c>
      <c r="S4406">
        <v>0</v>
      </c>
      <c r="T4406">
        <v>0</v>
      </c>
      <c r="V4406">
        <v>1</v>
      </c>
      <c r="W4406">
        <v>880</v>
      </c>
    </row>
    <row r="4407" spans="1:23" x14ac:dyDescent="0.25">
      <c r="H4407">
        <v>703</v>
      </c>
    </row>
    <row r="4408" spans="1:23" x14ac:dyDescent="0.25">
      <c r="A4408">
        <v>2201</v>
      </c>
      <c r="B4408">
        <v>875</v>
      </c>
      <c r="C4408" t="s">
        <v>1313</v>
      </c>
      <c r="D4408" t="s">
        <v>273</v>
      </c>
      <c r="E4408" t="s">
        <v>772</v>
      </c>
      <c r="F4408" t="s">
        <v>5947</v>
      </c>
      <c r="G4408" t="str">
        <f>"201511025836"</f>
        <v>201511025836</v>
      </c>
      <c r="H4408">
        <v>880</v>
      </c>
      <c r="I4408">
        <v>0</v>
      </c>
      <c r="J4408">
        <v>0</v>
      </c>
      <c r="K4408">
        <v>0</v>
      </c>
      <c r="L4408">
        <v>0</v>
      </c>
      <c r="M4408">
        <v>0</v>
      </c>
      <c r="N4408">
        <v>0</v>
      </c>
      <c r="O4408">
        <v>0</v>
      </c>
      <c r="P4408">
        <v>0</v>
      </c>
      <c r="Q4408">
        <v>0</v>
      </c>
      <c r="R4408">
        <v>0</v>
      </c>
      <c r="S4408">
        <v>0</v>
      </c>
      <c r="T4408">
        <v>0</v>
      </c>
      <c r="V4408">
        <v>0</v>
      </c>
      <c r="W4408">
        <v>880</v>
      </c>
    </row>
    <row r="4409" spans="1:23" x14ac:dyDescent="0.25">
      <c r="H4409">
        <v>703</v>
      </c>
    </row>
    <row r="4410" spans="1:23" x14ac:dyDescent="0.25">
      <c r="A4410">
        <v>2202</v>
      </c>
      <c r="B4410">
        <v>50</v>
      </c>
      <c r="C4410" t="s">
        <v>5948</v>
      </c>
      <c r="D4410" t="s">
        <v>5949</v>
      </c>
      <c r="E4410" t="s">
        <v>21</v>
      </c>
      <c r="F4410" t="s">
        <v>5950</v>
      </c>
      <c r="G4410" t="str">
        <f>"201512003736"</f>
        <v>201512003736</v>
      </c>
      <c r="H4410">
        <v>660</v>
      </c>
      <c r="I4410">
        <v>0</v>
      </c>
      <c r="J4410">
        <v>30</v>
      </c>
      <c r="K4410">
        <v>0</v>
      </c>
      <c r="L4410">
        <v>0</v>
      </c>
      <c r="M4410">
        <v>70</v>
      </c>
      <c r="N4410">
        <v>0</v>
      </c>
      <c r="O4410">
        <v>0</v>
      </c>
      <c r="P4410">
        <v>0</v>
      </c>
      <c r="Q4410">
        <v>0</v>
      </c>
      <c r="R4410">
        <v>17</v>
      </c>
      <c r="S4410">
        <v>119</v>
      </c>
      <c r="T4410">
        <v>0</v>
      </c>
      <c r="V4410">
        <v>0</v>
      </c>
      <c r="W4410">
        <v>879</v>
      </c>
    </row>
    <row r="4411" spans="1:23" x14ac:dyDescent="0.25">
      <c r="H4411" t="s">
        <v>70</v>
      </c>
    </row>
    <row r="4412" spans="1:23" x14ac:dyDescent="0.25">
      <c r="A4412">
        <v>2203</v>
      </c>
      <c r="B4412">
        <v>189</v>
      </c>
      <c r="C4412" t="s">
        <v>103</v>
      </c>
      <c r="D4412" t="s">
        <v>1815</v>
      </c>
      <c r="E4412" t="s">
        <v>607</v>
      </c>
      <c r="F4412" t="s">
        <v>5951</v>
      </c>
      <c r="G4412" t="str">
        <f>"00004217"</f>
        <v>00004217</v>
      </c>
      <c r="H4412" t="s">
        <v>2235</v>
      </c>
      <c r="I4412">
        <v>0</v>
      </c>
      <c r="J4412">
        <v>30</v>
      </c>
      <c r="K4412">
        <v>0</v>
      </c>
      <c r="L4412">
        <v>0</v>
      </c>
      <c r="M4412">
        <v>0</v>
      </c>
      <c r="N4412">
        <v>0</v>
      </c>
      <c r="O4412">
        <v>0</v>
      </c>
      <c r="P4412">
        <v>0</v>
      </c>
      <c r="Q4412">
        <v>0</v>
      </c>
      <c r="R4412">
        <v>1</v>
      </c>
      <c r="S4412">
        <v>7</v>
      </c>
      <c r="T4412">
        <v>0</v>
      </c>
      <c r="V4412">
        <v>0</v>
      </c>
      <c r="W4412" t="s">
        <v>5952</v>
      </c>
    </row>
    <row r="4413" spans="1:23" x14ac:dyDescent="0.25">
      <c r="H4413">
        <v>703</v>
      </c>
    </row>
    <row r="4414" spans="1:23" x14ac:dyDescent="0.25">
      <c r="A4414">
        <v>2204</v>
      </c>
      <c r="B4414">
        <v>2776</v>
      </c>
      <c r="C4414" t="s">
        <v>196</v>
      </c>
      <c r="D4414" t="s">
        <v>140</v>
      </c>
      <c r="E4414" t="s">
        <v>105</v>
      </c>
      <c r="F4414" t="s">
        <v>5953</v>
      </c>
      <c r="G4414" t="str">
        <f>"00151384"</f>
        <v>00151384</v>
      </c>
      <c r="H4414" t="s">
        <v>5954</v>
      </c>
      <c r="I4414">
        <v>0</v>
      </c>
      <c r="J4414">
        <v>0</v>
      </c>
      <c r="K4414">
        <v>0</v>
      </c>
      <c r="L4414">
        <v>0</v>
      </c>
      <c r="M4414">
        <v>0</v>
      </c>
      <c r="N4414">
        <v>0</v>
      </c>
      <c r="O4414">
        <v>0</v>
      </c>
      <c r="P4414">
        <v>0</v>
      </c>
      <c r="Q4414">
        <v>0</v>
      </c>
      <c r="R4414">
        <v>43</v>
      </c>
      <c r="S4414">
        <v>301</v>
      </c>
      <c r="T4414">
        <v>0</v>
      </c>
      <c r="V4414">
        <v>0</v>
      </c>
      <c r="W4414" t="s">
        <v>5952</v>
      </c>
    </row>
    <row r="4415" spans="1:23" x14ac:dyDescent="0.25">
      <c r="H4415">
        <v>703</v>
      </c>
    </row>
    <row r="4416" spans="1:23" x14ac:dyDescent="0.25">
      <c r="A4416">
        <v>2205</v>
      </c>
      <c r="B4416">
        <v>328</v>
      </c>
      <c r="C4416" t="s">
        <v>5955</v>
      </c>
      <c r="D4416" t="s">
        <v>32</v>
      </c>
      <c r="E4416" t="s">
        <v>53</v>
      </c>
      <c r="F4416" t="s">
        <v>5956</v>
      </c>
      <c r="G4416" t="str">
        <f>"201511007144"</f>
        <v>201511007144</v>
      </c>
      <c r="H4416" t="s">
        <v>5957</v>
      </c>
      <c r="I4416">
        <v>0</v>
      </c>
      <c r="J4416">
        <v>0</v>
      </c>
      <c r="K4416">
        <v>0</v>
      </c>
      <c r="L4416">
        <v>0</v>
      </c>
      <c r="M4416">
        <v>0</v>
      </c>
      <c r="N4416">
        <v>0</v>
      </c>
      <c r="O4416">
        <v>0</v>
      </c>
      <c r="P4416">
        <v>0</v>
      </c>
      <c r="Q4416">
        <v>0</v>
      </c>
      <c r="R4416">
        <v>5</v>
      </c>
      <c r="S4416">
        <v>35</v>
      </c>
      <c r="T4416">
        <v>0</v>
      </c>
      <c r="V4416">
        <v>0</v>
      </c>
      <c r="W4416" t="s">
        <v>5958</v>
      </c>
    </row>
    <row r="4417" spans="1:23" x14ac:dyDescent="0.25">
      <c r="H4417">
        <v>703</v>
      </c>
    </row>
    <row r="4418" spans="1:23" x14ac:dyDescent="0.25">
      <c r="A4418">
        <v>2206</v>
      </c>
      <c r="B4418">
        <v>2561</v>
      </c>
      <c r="C4418" t="s">
        <v>5959</v>
      </c>
      <c r="D4418" t="s">
        <v>2062</v>
      </c>
      <c r="E4418" t="s">
        <v>1937</v>
      </c>
      <c r="F4418" t="s">
        <v>5960</v>
      </c>
      <c r="G4418" t="str">
        <f>"201502003741"</f>
        <v>201502003741</v>
      </c>
      <c r="H4418">
        <v>847</v>
      </c>
      <c r="I4418">
        <v>0</v>
      </c>
      <c r="J4418">
        <v>30</v>
      </c>
      <c r="K4418">
        <v>0</v>
      </c>
      <c r="L4418">
        <v>0</v>
      </c>
      <c r="M4418">
        <v>0</v>
      </c>
      <c r="N4418">
        <v>0</v>
      </c>
      <c r="O4418">
        <v>0</v>
      </c>
      <c r="P4418">
        <v>0</v>
      </c>
      <c r="Q4418">
        <v>0</v>
      </c>
      <c r="R4418">
        <v>0</v>
      </c>
      <c r="S4418">
        <v>0</v>
      </c>
      <c r="T4418">
        <v>0</v>
      </c>
      <c r="V4418">
        <v>0</v>
      </c>
      <c r="W4418">
        <v>877</v>
      </c>
    </row>
    <row r="4419" spans="1:23" x14ac:dyDescent="0.25">
      <c r="H4419">
        <v>703</v>
      </c>
    </row>
    <row r="4420" spans="1:23" x14ac:dyDescent="0.25">
      <c r="A4420">
        <v>2207</v>
      </c>
      <c r="B4420">
        <v>502</v>
      </c>
      <c r="C4420" t="s">
        <v>5961</v>
      </c>
      <c r="D4420" t="s">
        <v>444</v>
      </c>
      <c r="E4420" t="s">
        <v>109</v>
      </c>
      <c r="F4420" t="s">
        <v>5962</v>
      </c>
      <c r="G4420" t="str">
        <f>"201405001546"</f>
        <v>201405001546</v>
      </c>
      <c r="H4420">
        <v>825</v>
      </c>
      <c r="I4420">
        <v>0</v>
      </c>
      <c r="J4420">
        <v>30</v>
      </c>
      <c r="K4420">
        <v>0</v>
      </c>
      <c r="L4420">
        <v>0</v>
      </c>
      <c r="M4420">
        <v>0</v>
      </c>
      <c r="N4420">
        <v>0</v>
      </c>
      <c r="O4420">
        <v>0</v>
      </c>
      <c r="P4420">
        <v>0</v>
      </c>
      <c r="Q4420">
        <v>0</v>
      </c>
      <c r="R4420">
        <v>3</v>
      </c>
      <c r="S4420">
        <v>21</v>
      </c>
      <c r="T4420">
        <v>0</v>
      </c>
      <c r="V4420">
        <v>0</v>
      </c>
      <c r="W4420">
        <v>876</v>
      </c>
    </row>
    <row r="4421" spans="1:23" x14ac:dyDescent="0.25">
      <c r="H4421">
        <v>703</v>
      </c>
    </row>
    <row r="4422" spans="1:23" x14ac:dyDescent="0.25">
      <c r="A4422">
        <v>2208</v>
      </c>
      <c r="B4422">
        <v>1685</v>
      </c>
      <c r="C4422" t="s">
        <v>3125</v>
      </c>
      <c r="D4422" t="s">
        <v>302</v>
      </c>
      <c r="E4422" t="s">
        <v>5963</v>
      </c>
      <c r="F4422" t="s">
        <v>5964</v>
      </c>
      <c r="G4422" t="str">
        <f>"201509000168"</f>
        <v>201509000168</v>
      </c>
      <c r="H4422" t="s">
        <v>5965</v>
      </c>
      <c r="I4422">
        <v>0</v>
      </c>
      <c r="J4422">
        <v>0</v>
      </c>
      <c r="K4422">
        <v>0</v>
      </c>
      <c r="L4422">
        <v>0</v>
      </c>
      <c r="M4422">
        <v>0</v>
      </c>
      <c r="N4422">
        <v>0</v>
      </c>
      <c r="O4422">
        <v>0</v>
      </c>
      <c r="P4422">
        <v>0</v>
      </c>
      <c r="Q4422">
        <v>0</v>
      </c>
      <c r="R4422">
        <v>0</v>
      </c>
      <c r="S4422">
        <v>0</v>
      </c>
      <c r="T4422">
        <v>0</v>
      </c>
      <c r="V4422">
        <v>1</v>
      </c>
      <c r="W4422" t="s">
        <v>5965</v>
      </c>
    </row>
    <row r="4423" spans="1:23" x14ac:dyDescent="0.25">
      <c r="H4423">
        <v>703</v>
      </c>
    </row>
    <row r="4424" spans="1:23" x14ac:dyDescent="0.25">
      <c r="A4424">
        <v>2209</v>
      </c>
      <c r="B4424">
        <v>2625</v>
      </c>
      <c r="C4424" t="s">
        <v>5966</v>
      </c>
      <c r="D4424" t="s">
        <v>28</v>
      </c>
      <c r="E4424" t="s">
        <v>53</v>
      </c>
      <c r="F4424" t="s">
        <v>5967</v>
      </c>
      <c r="G4424" t="str">
        <f>"00153541"</f>
        <v>00153541</v>
      </c>
      <c r="H4424" t="s">
        <v>2715</v>
      </c>
      <c r="I4424">
        <v>0</v>
      </c>
      <c r="J4424">
        <v>30</v>
      </c>
      <c r="K4424">
        <v>0</v>
      </c>
      <c r="L4424">
        <v>0</v>
      </c>
      <c r="M4424">
        <v>0</v>
      </c>
      <c r="N4424">
        <v>0</v>
      </c>
      <c r="O4424">
        <v>0</v>
      </c>
      <c r="P4424">
        <v>0</v>
      </c>
      <c r="Q4424">
        <v>0</v>
      </c>
      <c r="R4424">
        <v>21</v>
      </c>
      <c r="S4424">
        <v>147</v>
      </c>
      <c r="T4424">
        <v>0</v>
      </c>
      <c r="V4424">
        <v>0</v>
      </c>
      <c r="W4424" t="s">
        <v>5968</v>
      </c>
    </row>
    <row r="4425" spans="1:23" x14ac:dyDescent="0.25">
      <c r="H4425">
        <v>703</v>
      </c>
    </row>
    <row r="4426" spans="1:23" x14ac:dyDescent="0.25">
      <c r="A4426">
        <v>2210</v>
      </c>
      <c r="B4426">
        <v>2017</v>
      </c>
      <c r="C4426" t="s">
        <v>5969</v>
      </c>
      <c r="D4426" t="s">
        <v>344</v>
      </c>
      <c r="E4426" t="s">
        <v>523</v>
      </c>
      <c r="F4426" t="s">
        <v>5970</v>
      </c>
      <c r="G4426" t="str">
        <f>"201511035041"</f>
        <v>201511035041</v>
      </c>
      <c r="H4426" t="s">
        <v>1014</v>
      </c>
      <c r="I4426">
        <v>0</v>
      </c>
      <c r="J4426">
        <v>0</v>
      </c>
      <c r="K4426">
        <v>0</v>
      </c>
      <c r="L4426">
        <v>0</v>
      </c>
      <c r="M4426">
        <v>0</v>
      </c>
      <c r="N4426">
        <v>0</v>
      </c>
      <c r="O4426">
        <v>0</v>
      </c>
      <c r="P4426">
        <v>0</v>
      </c>
      <c r="Q4426">
        <v>0</v>
      </c>
      <c r="R4426">
        <v>0</v>
      </c>
      <c r="S4426">
        <v>0</v>
      </c>
      <c r="T4426">
        <v>0</v>
      </c>
      <c r="V4426">
        <v>0</v>
      </c>
      <c r="W4426" t="s">
        <v>1014</v>
      </c>
    </row>
    <row r="4427" spans="1:23" x14ac:dyDescent="0.25">
      <c r="H4427">
        <v>703</v>
      </c>
    </row>
    <row r="4428" spans="1:23" x14ac:dyDescent="0.25">
      <c r="A4428">
        <v>2211</v>
      </c>
      <c r="B4428">
        <v>1867</v>
      </c>
      <c r="C4428" t="s">
        <v>5971</v>
      </c>
      <c r="D4428" t="s">
        <v>273</v>
      </c>
      <c r="E4428" t="s">
        <v>53</v>
      </c>
      <c r="F4428" t="s">
        <v>5972</v>
      </c>
      <c r="G4428" t="str">
        <f>"201402001819"</f>
        <v>201402001819</v>
      </c>
      <c r="H4428" t="s">
        <v>2419</v>
      </c>
      <c r="I4428">
        <v>0</v>
      </c>
      <c r="J4428">
        <v>70</v>
      </c>
      <c r="K4428">
        <v>30</v>
      </c>
      <c r="L4428">
        <v>0</v>
      </c>
      <c r="M4428">
        <v>0</v>
      </c>
      <c r="N4428">
        <v>30</v>
      </c>
      <c r="O4428">
        <v>0</v>
      </c>
      <c r="P4428">
        <v>0</v>
      </c>
      <c r="Q4428">
        <v>0</v>
      </c>
      <c r="R4428">
        <v>0</v>
      </c>
      <c r="S4428">
        <v>0</v>
      </c>
      <c r="T4428">
        <v>0</v>
      </c>
      <c r="V4428">
        <v>0</v>
      </c>
      <c r="W4428" t="s">
        <v>5973</v>
      </c>
    </row>
    <row r="4429" spans="1:23" x14ac:dyDescent="0.25">
      <c r="H4429" t="s">
        <v>26</v>
      </c>
    </row>
    <row r="4430" spans="1:23" x14ac:dyDescent="0.25">
      <c r="A4430">
        <v>2212</v>
      </c>
      <c r="B4430">
        <v>60</v>
      </c>
      <c r="C4430" t="s">
        <v>4334</v>
      </c>
      <c r="D4430" t="s">
        <v>5974</v>
      </c>
      <c r="E4430" t="s">
        <v>62</v>
      </c>
      <c r="F4430" t="s">
        <v>5975</v>
      </c>
      <c r="G4430" t="str">
        <f>"00224758"</f>
        <v>00224758</v>
      </c>
      <c r="H4430" t="s">
        <v>2235</v>
      </c>
      <c r="I4430">
        <v>0</v>
      </c>
      <c r="J4430">
        <v>30</v>
      </c>
      <c r="K4430">
        <v>0</v>
      </c>
      <c r="L4430">
        <v>0</v>
      </c>
      <c r="M4430">
        <v>0</v>
      </c>
      <c r="N4430">
        <v>0</v>
      </c>
      <c r="O4430">
        <v>0</v>
      </c>
      <c r="P4430">
        <v>0</v>
      </c>
      <c r="Q4430">
        <v>0</v>
      </c>
      <c r="R4430">
        <v>0</v>
      </c>
      <c r="S4430">
        <v>0</v>
      </c>
      <c r="T4430">
        <v>0</v>
      </c>
      <c r="V4430">
        <v>2</v>
      </c>
      <c r="W4430" t="s">
        <v>5976</v>
      </c>
    </row>
    <row r="4431" spans="1:23" x14ac:dyDescent="0.25">
      <c r="H4431" t="s">
        <v>70</v>
      </c>
    </row>
    <row r="4432" spans="1:23" x14ac:dyDescent="0.25">
      <c r="A4432">
        <v>2213</v>
      </c>
      <c r="B4432">
        <v>241</v>
      </c>
      <c r="C4432" t="s">
        <v>5977</v>
      </c>
      <c r="D4432" t="s">
        <v>46</v>
      </c>
      <c r="E4432" t="s">
        <v>1633</v>
      </c>
      <c r="F4432" t="s">
        <v>5978</v>
      </c>
      <c r="G4432" t="str">
        <f>"00190510"</f>
        <v>00190510</v>
      </c>
      <c r="H4432" t="s">
        <v>2235</v>
      </c>
      <c r="I4432">
        <v>0</v>
      </c>
      <c r="J4432">
        <v>30</v>
      </c>
      <c r="K4432">
        <v>0</v>
      </c>
      <c r="L4432">
        <v>0</v>
      </c>
      <c r="M4432">
        <v>0</v>
      </c>
      <c r="N4432">
        <v>0</v>
      </c>
      <c r="O4432">
        <v>0</v>
      </c>
      <c r="P4432">
        <v>0</v>
      </c>
      <c r="Q4432">
        <v>0</v>
      </c>
      <c r="R4432">
        <v>0</v>
      </c>
      <c r="S4432">
        <v>0</v>
      </c>
      <c r="T4432">
        <v>0</v>
      </c>
      <c r="V4432">
        <v>2</v>
      </c>
      <c r="W4432" t="s">
        <v>5976</v>
      </c>
    </row>
    <row r="4433" spans="1:23" x14ac:dyDescent="0.25">
      <c r="H4433">
        <v>703</v>
      </c>
    </row>
    <row r="4434" spans="1:23" x14ac:dyDescent="0.25">
      <c r="A4434">
        <v>2214</v>
      </c>
      <c r="B4434">
        <v>2024</v>
      </c>
      <c r="C4434" t="s">
        <v>5979</v>
      </c>
      <c r="D4434" t="s">
        <v>20</v>
      </c>
      <c r="E4434" t="s">
        <v>53</v>
      </c>
      <c r="F4434" t="s">
        <v>5980</v>
      </c>
      <c r="G4434" t="str">
        <f>"201506000684"</f>
        <v>201506000684</v>
      </c>
      <c r="H4434">
        <v>715</v>
      </c>
      <c r="I4434">
        <v>0</v>
      </c>
      <c r="J4434">
        <v>30</v>
      </c>
      <c r="K4434">
        <v>0</v>
      </c>
      <c r="L4434">
        <v>0</v>
      </c>
      <c r="M4434">
        <v>0</v>
      </c>
      <c r="N4434">
        <v>0</v>
      </c>
      <c r="O4434">
        <v>0</v>
      </c>
      <c r="P4434">
        <v>0</v>
      </c>
      <c r="Q4434">
        <v>0</v>
      </c>
      <c r="R4434">
        <v>18</v>
      </c>
      <c r="S4434">
        <v>126</v>
      </c>
      <c r="T4434">
        <v>0</v>
      </c>
      <c r="V4434">
        <v>0</v>
      </c>
      <c r="W4434">
        <v>871</v>
      </c>
    </row>
    <row r="4435" spans="1:23" x14ac:dyDescent="0.25">
      <c r="H4435">
        <v>703</v>
      </c>
    </row>
    <row r="4436" spans="1:23" x14ac:dyDescent="0.25">
      <c r="A4436">
        <v>2215</v>
      </c>
      <c r="B4436">
        <v>2689</v>
      </c>
      <c r="C4436" t="s">
        <v>1313</v>
      </c>
      <c r="D4436" t="s">
        <v>361</v>
      </c>
      <c r="E4436" t="s">
        <v>15</v>
      </c>
      <c r="F4436" t="s">
        <v>5981</v>
      </c>
      <c r="G4436" t="str">
        <f>"201406018148"</f>
        <v>201406018148</v>
      </c>
      <c r="H4436" t="s">
        <v>2147</v>
      </c>
      <c r="I4436">
        <v>0</v>
      </c>
      <c r="J4436">
        <v>0</v>
      </c>
      <c r="K4436">
        <v>0</v>
      </c>
      <c r="L4436">
        <v>0</v>
      </c>
      <c r="M4436">
        <v>0</v>
      </c>
      <c r="N4436">
        <v>0</v>
      </c>
      <c r="O4436">
        <v>0</v>
      </c>
      <c r="P4436">
        <v>0</v>
      </c>
      <c r="Q4436">
        <v>0</v>
      </c>
      <c r="R4436">
        <v>0</v>
      </c>
      <c r="S4436">
        <v>0</v>
      </c>
      <c r="T4436">
        <v>0</v>
      </c>
      <c r="V4436">
        <v>0</v>
      </c>
      <c r="W4436" t="s">
        <v>2147</v>
      </c>
    </row>
    <row r="4437" spans="1:23" x14ac:dyDescent="0.25">
      <c r="H4437">
        <v>703</v>
      </c>
    </row>
    <row r="4438" spans="1:23" x14ac:dyDescent="0.25">
      <c r="A4438">
        <v>2216</v>
      </c>
      <c r="B4438">
        <v>1984</v>
      </c>
      <c r="C4438" t="s">
        <v>5982</v>
      </c>
      <c r="D4438" t="s">
        <v>28</v>
      </c>
      <c r="E4438" t="s">
        <v>21</v>
      </c>
      <c r="F4438" t="s">
        <v>5983</v>
      </c>
      <c r="G4438" t="str">
        <f>"201511018277"</f>
        <v>201511018277</v>
      </c>
      <c r="H4438">
        <v>770</v>
      </c>
      <c r="I4438">
        <v>0</v>
      </c>
      <c r="J4438">
        <v>30</v>
      </c>
      <c r="K4438">
        <v>0</v>
      </c>
      <c r="L4438">
        <v>70</v>
      </c>
      <c r="M4438">
        <v>0</v>
      </c>
      <c r="N4438">
        <v>0</v>
      </c>
      <c r="O4438">
        <v>0</v>
      </c>
      <c r="P4438">
        <v>0</v>
      </c>
      <c r="Q4438">
        <v>0</v>
      </c>
      <c r="R4438">
        <v>0</v>
      </c>
      <c r="S4438">
        <v>0</v>
      </c>
      <c r="T4438">
        <v>0</v>
      </c>
      <c r="V4438">
        <v>0</v>
      </c>
      <c r="W4438">
        <v>870</v>
      </c>
    </row>
    <row r="4439" spans="1:23" x14ac:dyDescent="0.25">
      <c r="H4439" t="s">
        <v>70</v>
      </c>
    </row>
    <row r="4440" spans="1:23" x14ac:dyDescent="0.25">
      <c r="A4440">
        <v>2217</v>
      </c>
      <c r="B4440">
        <v>1833</v>
      </c>
      <c r="C4440" t="s">
        <v>5984</v>
      </c>
      <c r="D4440" t="s">
        <v>2723</v>
      </c>
      <c r="E4440" t="s">
        <v>109</v>
      </c>
      <c r="F4440" t="s">
        <v>5985</v>
      </c>
      <c r="G4440" t="str">
        <f>"00226173"</f>
        <v>00226173</v>
      </c>
      <c r="H4440">
        <v>671</v>
      </c>
      <c r="I4440">
        <v>0</v>
      </c>
      <c r="J4440">
        <v>30</v>
      </c>
      <c r="K4440">
        <v>0</v>
      </c>
      <c r="L4440">
        <v>0</v>
      </c>
      <c r="M4440">
        <v>0</v>
      </c>
      <c r="N4440">
        <v>0</v>
      </c>
      <c r="O4440">
        <v>0</v>
      </c>
      <c r="P4440">
        <v>0</v>
      </c>
      <c r="Q4440">
        <v>0</v>
      </c>
      <c r="R4440">
        <v>24</v>
      </c>
      <c r="S4440">
        <v>168</v>
      </c>
      <c r="T4440">
        <v>0</v>
      </c>
      <c r="V4440">
        <v>0</v>
      </c>
      <c r="W4440">
        <v>869</v>
      </c>
    </row>
    <row r="4441" spans="1:23" x14ac:dyDescent="0.25">
      <c r="H4441">
        <v>703</v>
      </c>
    </row>
    <row r="4442" spans="1:23" x14ac:dyDescent="0.25">
      <c r="A4442">
        <v>2218</v>
      </c>
      <c r="B4442">
        <v>244</v>
      </c>
      <c r="C4442" t="s">
        <v>5986</v>
      </c>
      <c r="D4442" t="s">
        <v>99</v>
      </c>
      <c r="E4442" t="s">
        <v>76</v>
      </c>
      <c r="F4442" t="s">
        <v>5987</v>
      </c>
      <c r="G4442" t="str">
        <f>"201412003431"</f>
        <v>201412003431</v>
      </c>
      <c r="H4442">
        <v>693</v>
      </c>
      <c r="I4442">
        <v>0</v>
      </c>
      <c r="J4442">
        <v>70</v>
      </c>
      <c r="K4442">
        <v>0</v>
      </c>
      <c r="L4442">
        <v>0</v>
      </c>
      <c r="M4442">
        <v>0</v>
      </c>
      <c r="N4442">
        <v>0</v>
      </c>
      <c r="O4442">
        <v>0</v>
      </c>
      <c r="P4442">
        <v>0</v>
      </c>
      <c r="Q4442">
        <v>0</v>
      </c>
      <c r="R4442">
        <v>15</v>
      </c>
      <c r="S4442">
        <v>105</v>
      </c>
      <c r="T4442">
        <v>0</v>
      </c>
      <c r="V4442">
        <v>1</v>
      </c>
      <c r="W4442">
        <v>868</v>
      </c>
    </row>
    <row r="4443" spans="1:23" x14ac:dyDescent="0.25">
      <c r="H4443">
        <v>703</v>
      </c>
    </row>
    <row r="4444" spans="1:23" x14ac:dyDescent="0.25">
      <c r="A4444">
        <v>2219</v>
      </c>
      <c r="B4444">
        <v>1106</v>
      </c>
      <c r="C4444" t="s">
        <v>5988</v>
      </c>
      <c r="D4444" t="s">
        <v>41</v>
      </c>
      <c r="E4444" t="s">
        <v>523</v>
      </c>
      <c r="F4444" t="s">
        <v>5989</v>
      </c>
      <c r="G4444" t="str">
        <f>"00142628"</f>
        <v>00142628</v>
      </c>
      <c r="H4444" t="s">
        <v>2614</v>
      </c>
      <c r="I4444">
        <v>0</v>
      </c>
      <c r="J4444">
        <v>30</v>
      </c>
      <c r="K4444">
        <v>0</v>
      </c>
      <c r="L4444">
        <v>0</v>
      </c>
      <c r="M4444">
        <v>0</v>
      </c>
      <c r="N4444">
        <v>0</v>
      </c>
      <c r="O4444">
        <v>0</v>
      </c>
      <c r="P4444">
        <v>0</v>
      </c>
      <c r="Q4444">
        <v>0</v>
      </c>
      <c r="R4444">
        <v>0</v>
      </c>
      <c r="S4444">
        <v>0</v>
      </c>
      <c r="T4444">
        <v>0</v>
      </c>
      <c r="V4444">
        <v>0</v>
      </c>
      <c r="W4444" t="s">
        <v>5990</v>
      </c>
    </row>
    <row r="4445" spans="1:23" x14ac:dyDescent="0.25">
      <c r="H4445" t="s">
        <v>26</v>
      </c>
    </row>
    <row r="4446" spans="1:23" x14ac:dyDescent="0.25">
      <c r="A4446">
        <v>2220</v>
      </c>
      <c r="B4446">
        <v>2064</v>
      </c>
      <c r="C4446" t="s">
        <v>5991</v>
      </c>
      <c r="D4446" t="s">
        <v>2631</v>
      </c>
      <c r="E4446" t="s">
        <v>5992</v>
      </c>
      <c r="F4446" t="s">
        <v>5993</v>
      </c>
      <c r="G4446" t="str">
        <f>"00187641"</f>
        <v>00187641</v>
      </c>
      <c r="H4446" t="s">
        <v>2186</v>
      </c>
      <c r="I4446">
        <v>0</v>
      </c>
      <c r="J4446">
        <v>0</v>
      </c>
      <c r="K4446">
        <v>0</v>
      </c>
      <c r="L4446">
        <v>0</v>
      </c>
      <c r="M4446">
        <v>0</v>
      </c>
      <c r="N4446">
        <v>0</v>
      </c>
      <c r="O4446">
        <v>0</v>
      </c>
      <c r="P4446">
        <v>0</v>
      </c>
      <c r="Q4446">
        <v>0</v>
      </c>
      <c r="R4446">
        <v>0</v>
      </c>
      <c r="S4446">
        <v>0</v>
      </c>
      <c r="T4446">
        <v>0</v>
      </c>
      <c r="V4446">
        <v>2</v>
      </c>
      <c r="W4446" t="s">
        <v>2186</v>
      </c>
    </row>
    <row r="4447" spans="1:23" x14ac:dyDescent="0.25">
      <c r="H4447">
        <v>703</v>
      </c>
    </row>
    <row r="4448" spans="1:23" x14ac:dyDescent="0.25">
      <c r="A4448">
        <v>2221</v>
      </c>
      <c r="B4448">
        <v>465</v>
      </c>
      <c r="C4448" t="s">
        <v>5994</v>
      </c>
      <c r="D4448" t="s">
        <v>3192</v>
      </c>
      <c r="E4448" t="s">
        <v>53</v>
      </c>
      <c r="F4448" t="s">
        <v>5995</v>
      </c>
      <c r="G4448" t="str">
        <f>"201604005902"</f>
        <v>201604005902</v>
      </c>
      <c r="H4448" t="s">
        <v>2186</v>
      </c>
      <c r="I4448">
        <v>0</v>
      </c>
      <c r="J4448">
        <v>0</v>
      </c>
      <c r="K4448">
        <v>0</v>
      </c>
      <c r="L4448">
        <v>0</v>
      </c>
      <c r="M4448">
        <v>0</v>
      </c>
      <c r="N4448">
        <v>0</v>
      </c>
      <c r="O4448">
        <v>0</v>
      </c>
      <c r="P4448">
        <v>0</v>
      </c>
      <c r="Q4448">
        <v>0</v>
      </c>
      <c r="R4448">
        <v>0</v>
      </c>
      <c r="S4448">
        <v>0</v>
      </c>
      <c r="T4448">
        <v>0</v>
      </c>
      <c r="V4448">
        <v>1</v>
      </c>
      <c r="W4448" t="s">
        <v>2186</v>
      </c>
    </row>
    <row r="4449" spans="1:23" x14ac:dyDescent="0.25">
      <c r="H4449">
        <v>703</v>
      </c>
    </row>
    <row r="4450" spans="1:23" x14ac:dyDescent="0.25">
      <c r="A4450">
        <v>2222</v>
      </c>
      <c r="B4450">
        <v>2688</v>
      </c>
      <c r="C4450" t="s">
        <v>5996</v>
      </c>
      <c r="D4450" t="s">
        <v>556</v>
      </c>
      <c r="E4450" t="s">
        <v>5997</v>
      </c>
      <c r="F4450" t="s">
        <v>5998</v>
      </c>
      <c r="G4450" t="str">
        <f>"201602000455"</f>
        <v>201602000455</v>
      </c>
      <c r="H4450" t="s">
        <v>2186</v>
      </c>
      <c r="I4450">
        <v>0</v>
      </c>
      <c r="J4450">
        <v>0</v>
      </c>
      <c r="K4450">
        <v>0</v>
      </c>
      <c r="L4450">
        <v>0</v>
      </c>
      <c r="M4450">
        <v>0</v>
      </c>
      <c r="N4450">
        <v>0</v>
      </c>
      <c r="O4450">
        <v>0</v>
      </c>
      <c r="P4450">
        <v>0</v>
      </c>
      <c r="Q4450">
        <v>0</v>
      </c>
      <c r="R4450">
        <v>0</v>
      </c>
      <c r="S4450">
        <v>0</v>
      </c>
      <c r="T4450">
        <v>0</v>
      </c>
      <c r="V4450">
        <v>2</v>
      </c>
      <c r="W4450" t="s">
        <v>2186</v>
      </c>
    </row>
    <row r="4451" spans="1:23" x14ac:dyDescent="0.25">
      <c r="H4451">
        <v>703</v>
      </c>
    </row>
    <row r="4452" spans="1:23" x14ac:dyDescent="0.25">
      <c r="A4452">
        <v>2223</v>
      </c>
      <c r="B4452">
        <v>1519</v>
      </c>
      <c r="C4452" t="s">
        <v>5999</v>
      </c>
      <c r="D4452" t="s">
        <v>14</v>
      </c>
      <c r="E4452" t="s">
        <v>15</v>
      </c>
      <c r="F4452" t="s">
        <v>6000</v>
      </c>
      <c r="G4452" t="str">
        <f>"00093712"</f>
        <v>00093712</v>
      </c>
      <c r="H4452" t="s">
        <v>2431</v>
      </c>
      <c r="I4452">
        <v>0</v>
      </c>
      <c r="J4452">
        <v>0</v>
      </c>
      <c r="K4452">
        <v>0</v>
      </c>
      <c r="L4452">
        <v>0</v>
      </c>
      <c r="M4452">
        <v>0</v>
      </c>
      <c r="N4452">
        <v>0</v>
      </c>
      <c r="O4452">
        <v>0</v>
      </c>
      <c r="P4452">
        <v>0</v>
      </c>
      <c r="Q4452">
        <v>0</v>
      </c>
      <c r="R4452">
        <v>22</v>
      </c>
      <c r="S4452">
        <v>154</v>
      </c>
      <c r="T4452">
        <v>0</v>
      </c>
      <c r="V4452">
        <v>0</v>
      </c>
      <c r="W4452" t="s">
        <v>2186</v>
      </c>
    </row>
    <row r="4453" spans="1:23" x14ac:dyDescent="0.25">
      <c r="H4453">
        <v>703</v>
      </c>
    </row>
    <row r="4454" spans="1:23" x14ac:dyDescent="0.25">
      <c r="A4454">
        <v>2224</v>
      </c>
      <c r="B4454">
        <v>1621</v>
      </c>
      <c r="C4454" t="s">
        <v>1313</v>
      </c>
      <c r="D4454" t="s">
        <v>140</v>
      </c>
      <c r="E4454" t="s">
        <v>1851</v>
      </c>
      <c r="F4454" t="s">
        <v>6001</v>
      </c>
      <c r="G4454" t="str">
        <f>"00197646"</f>
        <v>00197646</v>
      </c>
      <c r="H4454" t="s">
        <v>6002</v>
      </c>
      <c r="I4454">
        <v>0</v>
      </c>
      <c r="J4454">
        <v>0</v>
      </c>
      <c r="K4454">
        <v>0</v>
      </c>
      <c r="L4454">
        <v>0</v>
      </c>
      <c r="M4454">
        <v>0</v>
      </c>
      <c r="N4454">
        <v>0</v>
      </c>
      <c r="O4454">
        <v>0</v>
      </c>
      <c r="P4454">
        <v>0</v>
      </c>
      <c r="Q4454">
        <v>0</v>
      </c>
      <c r="R4454">
        <v>0</v>
      </c>
      <c r="S4454">
        <v>0</v>
      </c>
      <c r="T4454">
        <v>0</v>
      </c>
      <c r="V4454">
        <v>0</v>
      </c>
      <c r="W4454" t="s">
        <v>6002</v>
      </c>
    </row>
    <row r="4455" spans="1:23" x14ac:dyDescent="0.25">
      <c r="H4455">
        <v>703</v>
      </c>
    </row>
    <row r="4456" spans="1:23" x14ac:dyDescent="0.25">
      <c r="A4456">
        <v>2225</v>
      </c>
      <c r="B4456">
        <v>1037</v>
      </c>
      <c r="C4456" t="s">
        <v>6003</v>
      </c>
      <c r="D4456" t="s">
        <v>166</v>
      </c>
      <c r="E4456" t="s">
        <v>76</v>
      </c>
      <c r="F4456" t="s">
        <v>6004</v>
      </c>
      <c r="G4456" t="str">
        <f>"201411002317"</f>
        <v>201411002317</v>
      </c>
      <c r="H4456" t="s">
        <v>2824</v>
      </c>
      <c r="I4456">
        <v>0</v>
      </c>
      <c r="J4456">
        <v>0</v>
      </c>
      <c r="K4456">
        <v>0</v>
      </c>
      <c r="L4456">
        <v>0</v>
      </c>
      <c r="M4456">
        <v>0</v>
      </c>
      <c r="N4456">
        <v>0</v>
      </c>
      <c r="O4456">
        <v>0</v>
      </c>
      <c r="P4456">
        <v>0</v>
      </c>
      <c r="Q4456">
        <v>0</v>
      </c>
      <c r="R4456">
        <v>0</v>
      </c>
      <c r="S4456">
        <v>0</v>
      </c>
      <c r="T4456">
        <v>0</v>
      </c>
      <c r="V4456">
        <v>0</v>
      </c>
      <c r="W4456" t="s">
        <v>2824</v>
      </c>
    </row>
    <row r="4457" spans="1:23" x14ac:dyDescent="0.25">
      <c r="H4457" t="s">
        <v>3704</v>
      </c>
    </row>
    <row r="4458" spans="1:23" x14ac:dyDescent="0.25">
      <c r="A4458">
        <v>2226</v>
      </c>
      <c r="B4458">
        <v>1132</v>
      </c>
      <c r="C4458" t="s">
        <v>1009</v>
      </c>
      <c r="D4458" t="s">
        <v>302</v>
      </c>
      <c r="E4458" t="s">
        <v>15</v>
      </c>
      <c r="F4458" t="s">
        <v>6005</v>
      </c>
      <c r="G4458" t="str">
        <f>"201412001832"</f>
        <v>201412001832</v>
      </c>
      <c r="H4458">
        <v>561</v>
      </c>
      <c r="I4458">
        <v>150</v>
      </c>
      <c r="J4458">
        <v>0</v>
      </c>
      <c r="K4458">
        <v>0</v>
      </c>
      <c r="L4458">
        <v>0</v>
      </c>
      <c r="M4458">
        <v>0</v>
      </c>
      <c r="N4458">
        <v>0</v>
      </c>
      <c r="O4458">
        <v>0</v>
      </c>
      <c r="P4458">
        <v>0</v>
      </c>
      <c r="Q4458">
        <v>0</v>
      </c>
      <c r="R4458">
        <v>21</v>
      </c>
      <c r="S4458">
        <v>147</v>
      </c>
      <c r="T4458">
        <v>0</v>
      </c>
      <c r="V4458">
        <v>0</v>
      </c>
      <c r="W4458">
        <v>858</v>
      </c>
    </row>
    <row r="4459" spans="1:23" x14ac:dyDescent="0.25">
      <c r="H4459" t="s">
        <v>70</v>
      </c>
    </row>
    <row r="4460" spans="1:23" x14ac:dyDescent="0.25">
      <c r="A4460">
        <v>2227</v>
      </c>
      <c r="B4460">
        <v>2476</v>
      </c>
      <c r="C4460" t="s">
        <v>4728</v>
      </c>
      <c r="D4460" t="s">
        <v>28</v>
      </c>
      <c r="E4460" t="s">
        <v>1075</v>
      </c>
      <c r="F4460" t="s">
        <v>6006</v>
      </c>
      <c r="G4460" t="str">
        <f>"201406014112"</f>
        <v>201406014112</v>
      </c>
      <c r="H4460">
        <v>770</v>
      </c>
      <c r="I4460">
        <v>0</v>
      </c>
      <c r="J4460">
        <v>30</v>
      </c>
      <c r="K4460">
        <v>0</v>
      </c>
      <c r="L4460">
        <v>0</v>
      </c>
      <c r="M4460">
        <v>0</v>
      </c>
      <c r="N4460">
        <v>0</v>
      </c>
      <c r="O4460">
        <v>0</v>
      </c>
      <c r="P4460">
        <v>0</v>
      </c>
      <c r="Q4460">
        <v>0</v>
      </c>
      <c r="R4460">
        <v>8</v>
      </c>
      <c r="S4460">
        <v>56</v>
      </c>
      <c r="T4460">
        <v>0</v>
      </c>
      <c r="V4460">
        <v>0</v>
      </c>
      <c r="W4460">
        <v>856</v>
      </c>
    </row>
    <row r="4461" spans="1:23" x14ac:dyDescent="0.25">
      <c r="H4461" t="s">
        <v>26</v>
      </c>
    </row>
    <row r="4462" spans="1:23" x14ac:dyDescent="0.25">
      <c r="A4462">
        <v>2228</v>
      </c>
      <c r="B4462">
        <v>1060</v>
      </c>
      <c r="C4462" t="s">
        <v>6007</v>
      </c>
      <c r="D4462" t="s">
        <v>37</v>
      </c>
      <c r="E4462" t="s">
        <v>99</v>
      </c>
      <c r="F4462" t="s">
        <v>6008</v>
      </c>
      <c r="G4462" t="str">
        <f>"00013155"</f>
        <v>00013155</v>
      </c>
      <c r="H4462">
        <v>825</v>
      </c>
      <c r="I4462">
        <v>0</v>
      </c>
      <c r="J4462">
        <v>30</v>
      </c>
      <c r="K4462">
        <v>0</v>
      </c>
      <c r="L4462">
        <v>0</v>
      </c>
      <c r="M4462">
        <v>0</v>
      </c>
      <c r="N4462">
        <v>0</v>
      </c>
      <c r="O4462">
        <v>0</v>
      </c>
      <c r="P4462">
        <v>0</v>
      </c>
      <c r="Q4462">
        <v>0</v>
      </c>
      <c r="R4462">
        <v>0</v>
      </c>
      <c r="S4462">
        <v>0</v>
      </c>
      <c r="T4462">
        <v>0</v>
      </c>
      <c r="V4462">
        <v>0</v>
      </c>
      <c r="W4462">
        <v>855</v>
      </c>
    </row>
    <row r="4463" spans="1:23" x14ac:dyDescent="0.25">
      <c r="H4463">
        <v>703</v>
      </c>
    </row>
    <row r="4464" spans="1:23" x14ac:dyDescent="0.25">
      <c r="A4464">
        <v>2229</v>
      </c>
      <c r="B4464">
        <v>2204</v>
      </c>
      <c r="C4464" t="s">
        <v>1904</v>
      </c>
      <c r="D4464" t="s">
        <v>40</v>
      </c>
      <c r="E4464" t="s">
        <v>607</v>
      </c>
      <c r="F4464" t="s">
        <v>6009</v>
      </c>
      <c r="G4464" t="str">
        <f>"201511034797"</f>
        <v>201511034797</v>
      </c>
      <c r="H4464">
        <v>825</v>
      </c>
      <c r="I4464">
        <v>0</v>
      </c>
      <c r="J4464">
        <v>30</v>
      </c>
      <c r="K4464">
        <v>0</v>
      </c>
      <c r="L4464">
        <v>0</v>
      </c>
      <c r="M4464">
        <v>0</v>
      </c>
      <c r="N4464">
        <v>0</v>
      </c>
      <c r="O4464">
        <v>0</v>
      </c>
      <c r="P4464">
        <v>0</v>
      </c>
      <c r="Q4464">
        <v>0</v>
      </c>
      <c r="R4464">
        <v>0</v>
      </c>
      <c r="S4464">
        <v>0</v>
      </c>
      <c r="T4464">
        <v>0</v>
      </c>
      <c r="V4464">
        <v>0</v>
      </c>
      <c r="W4464">
        <v>855</v>
      </c>
    </row>
    <row r="4465" spans="1:23" x14ac:dyDescent="0.25">
      <c r="H4465">
        <v>703</v>
      </c>
    </row>
    <row r="4466" spans="1:23" x14ac:dyDescent="0.25">
      <c r="A4466">
        <v>2230</v>
      </c>
      <c r="B4466">
        <v>449</v>
      </c>
      <c r="C4466" t="s">
        <v>6010</v>
      </c>
      <c r="D4466" t="s">
        <v>46</v>
      </c>
      <c r="E4466" t="s">
        <v>105</v>
      </c>
      <c r="F4466" t="s">
        <v>6011</v>
      </c>
      <c r="G4466" t="str">
        <f>"00140563"</f>
        <v>00140563</v>
      </c>
      <c r="H4466">
        <v>825</v>
      </c>
      <c r="I4466">
        <v>0</v>
      </c>
      <c r="J4466">
        <v>0</v>
      </c>
      <c r="K4466">
        <v>0</v>
      </c>
      <c r="L4466">
        <v>30</v>
      </c>
      <c r="M4466">
        <v>0</v>
      </c>
      <c r="N4466">
        <v>0</v>
      </c>
      <c r="O4466">
        <v>0</v>
      </c>
      <c r="P4466">
        <v>0</v>
      </c>
      <c r="Q4466">
        <v>0</v>
      </c>
      <c r="R4466">
        <v>0</v>
      </c>
      <c r="S4466">
        <v>0</v>
      </c>
      <c r="T4466">
        <v>0</v>
      </c>
      <c r="V4466">
        <v>0</v>
      </c>
      <c r="W4466">
        <v>855</v>
      </c>
    </row>
    <row r="4467" spans="1:23" x14ac:dyDescent="0.25">
      <c r="H4467">
        <v>703</v>
      </c>
    </row>
    <row r="4468" spans="1:23" x14ac:dyDescent="0.25">
      <c r="A4468">
        <v>2231</v>
      </c>
      <c r="B4468">
        <v>2724</v>
      </c>
      <c r="C4468" t="s">
        <v>6012</v>
      </c>
      <c r="D4468" t="s">
        <v>20</v>
      </c>
      <c r="E4468" t="s">
        <v>47</v>
      </c>
      <c r="F4468" t="s">
        <v>6013</v>
      </c>
      <c r="G4468" t="str">
        <f>"00230657"</f>
        <v>00230657</v>
      </c>
      <c r="H4468">
        <v>825</v>
      </c>
      <c r="I4468">
        <v>0</v>
      </c>
      <c r="J4468">
        <v>30</v>
      </c>
      <c r="K4468">
        <v>0</v>
      </c>
      <c r="L4468">
        <v>0</v>
      </c>
      <c r="M4468">
        <v>0</v>
      </c>
      <c r="N4468">
        <v>0</v>
      </c>
      <c r="O4468">
        <v>0</v>
      </c>
      <c r="P4468">
        <v>0</v>
      </c>
      <c r="Q4468">
        <v>0</v>
      </c>
      <c r="R4468">
        <v>0</v>
      </c>
      <c r="S4468">
        <v>0</v>
      </c>
      <c r="T4468">
        <v>0</v>
      </c>
      <c r="V4468">
        <v>0</v>
      </c>
      <c r="W4468">
        <v>855</v>
      </c>
    </row>
    <row r="4469" spans="1:23" x14ac:dyDescent="0.25">
      <c r="H4469" t="s">
        <v>70</v>
      </c>
    </row>
    <row r="4470" spans="1:23" x14ac:dyDescent="0.25">
      <c r="A4470">
        <v>2232</v>
      </c>
      <c r="B4470">
        <v>2917</v>
      </c>
      <c r="C4470" t="s">
        <v>6014</v>
      </c>
      <c r="D4470" t="s">
        <v>15</v>
      </c>
      <c r="E4470" t="s">
        <v>523</v>
      </c>
      <c r="F4470" t="s">
        <v>6015</v>
      </c>
      <c r="G4470" t="str">
        <f>"00226214"</f>
        <v>00226214</v>
      </c>
      <c r="H4470">
        <v>704</v>
      </c>
      <c r="I4470">
        <v>150</v>
      </c>
      <c r="J4470">
        <v>0</v>
      </c>
      <c r="K4470">
        <v>0</v>
      </c>
      <c r="L4470">
        <v>0</v>
      </c>
      <c r="M4470">
        <v>0</v>
      </c>
      <c r="N4470">
        <v>0</v>
      </c>
      <c r="O4470">
        <v>0</v>
      </c>
      <c r="P4470">
        <v>0</v>
      </c>
      <c r="Q4470">
        <v>0</v>
      </c>
      <c r="R4470">
        <v>0</v>
      </c>
      <c r="S4470">
        <v>0</v>
      </c>
      <c r="T4470">
        <v>0</v>
      </c>
      <c r="V4470">
        <v>0</v>
      </c>
      <c r="W4470">
        <v>854</v>
      </c>
    </row>
    <row r="4471" spans="1:23" x14ac:dyDescent="0.25">
      <c r="H4471">
        <v>703</v>
      </c>
    </row>
    <row r="4472" spans="1:23" x14ac:dyDescent="0.25">
      <c r="A4472">
        <v>2233</v>
      </c>
      <c r="B4472">
        <v>2557</v>
      </c>
      <c r="C4472" t="s">
        <v>1066</v>
      </c>
      <c r="D4472" t="s">
        <v>1081</v>
      </c>
      <c r="E4472" t="s">
        <v>105</v>
      </c>
      <c r="F4472" t="s">
        <v>6016</v>
      </c>
      <c r="G4472" t="str">
        <f>"00221998"</f>
        <v>00221998</v>
      </c>
      <c r="H4472" t="s">
        <v>1909</v>
      </c>
      <c r="I4472">
        <v>0</v>
      </c>
      <c r="J4472">
        <v>0</v>
      </c>
      <c r="K4472">
        <v>0</v>
      </c>
      <c r="L4472">
        <v>0</v>
      </c>
      <c r="M4472">
        <v>0</v>
      </c>
      <c r="N4472">
        <v>0</v>
      </c>
      <c r="O4472">
        <v>0</v>
      </c>
      <c r="P4472">
        <v>0</v>
      </c>
      <c r="Q4472">
        <v>0</v>
      </c>
      <c r="R4472">
        <v>0</v>
      </c>
      <c r="S4472">
        <v>0</v>
      </c>
      <c r="T4472">
        <v>0</v>
      </c>
      <c r="V4472">
        <v>0</v>
      </c>
      <c r="W4472" t="s">
        <v>1909</v>
      </c>
    </row>
    <row r="4473" spans="1:23" x14ac:dyDescent="0.25">
      <c r="H4473" t="s">
        <v>26</v>
      </c>
    </row>
    <row r="4474" spans="1:23" x14ac:dyDescent="0.25">
      <c r="A4474">
        <v>2234</v>
      </c>
      <c r="B4474">
        <v>2224</v>
      </c>
      <c r="C4474" t="s">
        <v>6017</v>
      </c>
      <c r="D4474" t="s">
        <v>1760</v>
      </c>
      <c r="E4474" t="s">
        <v>21</v>
      </c>
      <c r="F4474" t="s">
        <v>6018</v>
      </c>
      <c r="G4474" t="str">
        <f>"00198158"</f>
        <v>00198158</v>
      </c>
      <c r="H4474">
        <v>781</v>
      </c>
      <c r="I4474">
        <v>0</v>
      </c>
      <c r="J4474">
        <v>70</v>
      </c>
      <c r="K4474">
        <v>0</v>
      </c>
      <c r="L4474">
        <v>0</v>
      </c>
      <c r="M4474">
        <v>0</v>
      </c>
      <c r="N4474">
        <v>0</v>
      </c>
      <c r="O4474">
        <v>0</v>
      </c>
      <c r="P4474">
        <v>0</v>
      </c>
      <c r="Q4474">
        <v>0</v>
      </c>
      <c r="R4474">
        <v>0</v>
      </c>
      <c r="S4474">
        <v>0</v>
      </c>
      <c r="T4474">
        <v>0</v>
      </c>
      <c r="V4474">
        <v>0</v>
      </c>
      <c r="W4474">
        <v>851</v>
      </c>
    </row>
    <row r="4475" spans="1:23" x14ac:dyDescent="0.25">
      <c r="H4475">
        <v>703</v>
      </c>
    </row>
    <row r="4476" spans="1:23" x14ac:dyDescent="0.25">
      <c r="A4476">
        <v>2235</v>
      </c>
      <c r="B4476">
        <v>864</v>
      </c>
      <c r="C4476" t="s">
        <v>6019</v>
      </c>
      <c r="D4476" t="s">
        <v>104</v>
      </c>
      <c r="E4476" t="s">
        <v>53</v>
      </c>
      <c r="F4476" t="s">
        <v>6020</v>
      </c>
      <c r="G4476" t="str">
        <f>"00141257"</f>
        <v>00141257</v>
      </c>
      <c r="H4476" t="s">
        <v>1275</v>
      </c>
      <c r="I4476">
        <v>0</v>
      </c>
      <c r="J4476">
        <v>0</v>
      </c>
      <c r="K4476">
        <v>0</v>
      </c>
      <c r="L4476">
        <v>0</v>
      </c>
      <c r="M4476">
        <v>0</v>
      </c>
      <c r="N4476">
        <v>0</v>
      </c>
      <c r="O4476">
        <v>0</v>
      </c>
      <c r="P4476">
        <v>0</v>
      </c>
      <c r="Q4476">
        <v>0</v>
      </c>
      <c r="R4476">
        <v>0</v>
      </c>
      <c r="S4476">
        <v>0</v>
      </c>
      <c r="T4476">
        <v>0</v>
      </c>
      <c r="V4476">
        <v>0</v>
      </c>
      <c r="W4476" t="s">
        <v>1275</v>
      </c>
    </row>
    <row r="4477" spans="1:23" x14ac:dyDescent="0.25">
      <c r="H4477">
        <v>703</v>
      </c>
    </row>
    <row r="4478" spans="1:23" x14ac:dyDescent="0.25">
      <c r="A4478">
        <v>2236</v>
      </c>
      <c r="B4478">
        <v>1950</v>
      </c>
      <c r="C4478" t="s">
        <v>6021</v>
      </c>
      <c r="D4478" t="s">
        <v>140</v>
      </c>
      <c r="E4478" t="s">
        <v>62</v>
      </c>
      <c r="F4478" t="s">
        <v>6022</v>
      </c>
      <c r="G4478" t="str">
        <f>"00017828"</f>
        <v>00017828</v>
      </c>
      <c r="H4478" t="s">
        <v>1212</v>
      </c>
      <c r="I4478">
        <v>0</v>
      </c>
      <c r="J4478">
        <v>30</v>
      </c>
      <c r="K4478">
        <v>0</v>
      </c>
      <c r="L4478">
        <v>0</v>
      </c>
      <c r="M4478">
        <v>0</v>
      </c>
      <c r="N4478">
        <v>0</v>
      </c>
      <c r="O4478">
        <v>0</v>
      </c>
      <c r="P4478">
        <v>0</v>
      </c>
      <c r="Q4478">
        <v>0</v>
      </c>
      <c r="R4478">
        <v>0</v>
      </c>
      <c r="S4478">
        <v>0</v>
      </c>
      <c r="T4478">
        <v>0</v>
      </c>
      <c r="V4478">
        <v>0</v>
      </c>
      <c r="W4478" t="s">
        <v>6023</v>
      </c>
    </row>
    <row r="4479" spans="1:23" x14ac:dyDescent="0.25">
      <c r="H4479">
        <v>703</v>
      </c>
    </row>
    <row r="4480" spans="1:23" x14ac:dyDescent="0.25">
      <c r="A4480">
        <v>2237</v>
      </c>
      <c r="B4480">
        <v>2968</v>
      </c>
      <c r="C4480" t="s">
        <v>6024</v>
      </c>
      <c r="D4480" t="s">
        <v>607</v>
      </c>
      <c r="E4480" t="s">
        <v>109</v>
      </c>
      <c r="F4480" t="s">
        <v>6025</v>
      </c>
      <c r="G4480" t="str">
        <f>"00109648"</f>
        <v>00109648</v>
      </c>
      <c r="H4480" t="s">
        <v>1212</v>
      </c>
      <c r="I4480">
        <v>0</v>
      </c>
      <c r="J4480">
        <v>30</v>
      </c>
      <c r="K4480">
        <v>0</v>
      </c>
      <c r="L4480">
        <v>0</v>
      </c>
      <c r="M4480">
        <v>0</v>
      </c>
      <c r="N4480">
        <v>0</v>
      </c>
      <c r="O4480">
        <v>0</v>
      </c>
      <c r="P4480">
        <v>0</v>
      </c>
      <c r="Q4480">
        <v>0</v>
      </c>
      <c r="R4480">
        <v>0</v>
      </c>
      <c r="S4480">
        <v>0</v>
      </c>
      <c r="T4480">
        <v>0</v>
      </c>
      <c r="V4480">
        <v>1</v>
      </c>
      <c r="W4480" t="s">
        <v>6023</v>
      </c>
    </row>
    <row r="4481" spans="1:23" x14ac:dyDescent="0.25">
      <c r="H4481" t="s">
        <v>70</v>
      </c>
    </row>
    <row r="4482" spans="1:23" x14ac:dyDescent="0.25">
      <c r="A4482">
        <v>2238</v>
      </c>
      <c r="B4482">
        <v>18</v>
      </c>
      <c r="C4482" t="s">
        <v>6026</v>
      </c>
      <c r="D4482" t="s">
        <v>113</v>
      </c>
      <c r="E4482" t="s">
        <v>15</v>
      </c>
      <c r="F4482" t="s">
        <v>6027</v>
      </c>
      <c r="G4482" t="str">
        <f>"00012187"</f>
        <v>00012187</v>
      </c>
      <c r="H4482" t="s">
        <v>1212</v>
      </c>
      <c r="I4482">
        <v>0</v>
      </c>
      <c r="J4482">
        <v>30</v>
      </c>
      <c r="K4482">
        <v>0</v>
      </c>
      <c r="L4482">
        <v>0</v>
      </c>
      <c r="M4482">
        <v>0</v>
      </c>
      <c r="N4482">
        <v>0</v>
      </c>
      <c r="O4482">
        <v>0</v>
      </c>
      <c r="P4482">
        <v>0</v>
      </c>
      <c r="Q4482">
        <v>0</v>
      </c>
      <c r="R4482">
        <v>0</v>
      </c>
      <c r="S4482">
        <v>0</v>
      </c>
      <c r="T4482">
        <v>0</v>
      </c>
      <c r="V4482">
        <v>2</v>
      </c>
      <c r="W4482" t="s">
        <v>6023</v>
      </c>
    </row>
    <row r="4483" spans="1:23" x14ac:dyDescent="0.25">
      <c r="H4483">
        <v>703</v>
      </c>
    </row>
    <row r="4484" spans="1:23" x14ac:dyDescent="0.25">
      <c r="A4484">
        <v>2239</v>
      </c>
      <c r="B4484">
        <v>2552</v>
      </c>
      <c r="C4484" t="s">
        <v>6028</v>
      </c>
      <c r="D4484" t="s">
        <v>6029</v>
      </c>
      <c r="E4484" t="s">
        <v>21</v>
      </c>
      <c r="F4484" t="s">
        <v>6030</v>
      </c>
      <c r="G4484" t="str">
        <f>"00200743"</f>
        <v>00200743</v>
      </c>
      <c r="H4484" t="s">
        <v>1212</v>
      </c>
      <c r="I4484">
        <v>0</v>
      </c>
      <c r="J4484">
        <v>30</v>
      </c>
      <c r="K4484">
        <v>0</v>
      </c>
      <c r="L4484">
        <v>0</v>
      </c>
      <c r="M4484">
        <v>0</v>
      </c>
      <c r="N4484">
        <v>0</v>
      </c>
      <c r="O4484">
        <v>0</v>
      </c>
      <c r="P4484">
        <v>0</v>
      </c>
      <c r="Q4484">
        <v>0</v>
      </c>
      <c r="R4484">
        <v>0</v>
      </c>
      <c r="S4484">
        <v>0</v>
      </c>
      <c r="T4484">
        <v>0</v>
      </c>
      <c r="V4484">
        <v>0</v>
      </c>
      <c r="W4484" t="s">
        <v>6023</v>
      </c>
    </row>
    <row r="4485" spans="1:23" x14ac:dyDescent="0.25">
      <c r="H4485">
        <v>703</v>
      </c>
    </row>
    <row r="4486" spans="1:23" x14ac:dyDescent="0.25">
      <c r="A4486">
        <v>2240</v>
      </c>
      <c r="B4486">
        <v>635</v>
      </c>
      <c r="C4486" t="s">
        <v>6031</v>
      </c>
      <c r="D4486" t="s">
        <v>6032</v>
      </c>
      <c r="E4486" t="s">
        <v>6033</v>
      </c>
      <c r="F4486" t="s">
        <v>6034</v>
      </c>
      <c r="G4486" t="str">
        <f>"00224855"</f>
        <v>00224855</v>
      </c>
      <c r="H4486" t="s">
        <v>2526</v>
      </c>
      <c r="I4486">
        <v>0</v>
      </c>
      <c r="J4486">
        <v>0</v>
      </c>
      <c r="K4486">
        <v>0</v>
      </c>
      <c r="L4486">
        <v>0</v>
      </c>
      <c r="M4486">
        <v>0</v>
      </c>
      <c r="N4486">
        <v>0</v>
      </c>
      <c r="O4486">
        <v>0</v>
      </c>
      <c r="P4486">
        <v>0</v>
      </c>
      <c r="Q4486">
        <v>0</v>
      </c>
      <c r="R4486">
        <v>0</v>
      </c>
      <c r="S4486">
        <v>0</v>
      </c>
      <c r="T4486">
        <v>0</v>
      </c>
      <c r="V4486">
        <v>0</v>
      </c>
      <c r="W4486" t="s">
        <v>2526</v>
      </c>
    </row>
    <row r="4487" spans="1:23" x14ac:dyDescent="0.25">
      <c r="H4487" t="s">
        <v>6035</v>
      </c>
    </row>
    <row r="4488" spans="1:23" x14ac:dyDescent="0.25">
      <c r="A4488">
        <v>2241</v>
      </c>
      <c r="B4488">
        <v>360</v>
      </c>
      <c r="C4488" t="s">
        <v>6036</v>
      </c>
      <c r="D4488" t="s">
        <v>344</v>
      </c>
      <c r="E4488" t="s">
        <v>105</v>
      </c>
      <c r="F4488" t="s">
        <v>6037</v>
      </c>
      <c r="G4488" t="str">
        <f>"201511042210"</f>
        <v>201511042210</v>
      </c>
      <c r="H4488">
        <v>847</v>
      </c>
      <c r="I4488">
        <v>0</v>
      </c>
      <c r="J4488">
        <v>0</v>
      </c>
      <c r="K4488">
        <v>0</v>
      </c>
      <c r="L4488">
        <v>0</v>
      </c>
      <c r="M4488">
        <v>0</v>
      </c>
      <c r="N4488">
        <v>0</v>
      </c>
      <c r="O4488">
        <v>0</v>
      </c>
      <c r="P4488">
        <v>0</v>
      </c>
      <c r="Q4488">
        <v>0</v>
      </c>
      <c r="R4488">
        <v>0</v>
      </c>
      <c r="S4488">
        <v>0</v>
      </c>
      <c r="T4488">
        <v>0</v>
      </c>
      <c r="V4488">
        <v>1</v>
      </c>
      <c r="W4488">
        <v>847</v>
      </c>
    </row>
    <row r="4489" spans="1:23" x14ac:dyDescent="0.25">
      <c r="H4489">
        <v>703</v>
      </c>
    </row>
    <row r="4490" spans="1:23" x14ac:dyDescent="0.25">
      <c r="A4490">
        <v>2242</v>
      </c>
      <c r="B4490">
        <v>186</v>
      </c>
      <c r="C4490" t="s">
        <v>6038</v>
      </c>
      <c r="D4490" t="s">
        <v>273</v>
      </c>
      <c r="E4490" t="s">
        <v>6039</v>
      </c>
      <c r="F4490" t="s">
        <v>6040</v>
      </c>
      <c r="G4490" t="str">
        <f>"00224371"</f>
        <v>00224371</v>
      </c>
      <c r="H4490" t="s">
        <v>2889</v>
      </c>
      <c r="I4490">
        <v>0</v>
      </c>
      <c r="J4490">
        <v>0</v>
      </c>
      <c r="K4490">
        <v>0</v>
      </c>
      <c r="L4490">
        <v>0</v>
      </c>
      <c r="M4490">
        <v>0</v>
      </c>
      <c r="N4490">
        <v>0</v>
      </c>
      <c r="O4490">
        <v>0</v>
      </c>
      <c r="P4490">
        <v>0</v>
      </c>
      <c r="Q4490">
        <v>0</v>
      </c>
      <c r="R4490">
        <v>5</v>
      </c>
      <c r="S4490">
        <v>35</v>
      </c>
      <c r="T4490">
        <v>0</v>
      </c>
      <c r="V4490">
        <v>1</v>
      </c>
      <c r="W4490" t="s">
        <v>6041</v>
      </c>
    </row>
    <row r="4491" spans="1:23" x14ac:dyDescent="0.25">
      <c r="H4491">
        <v>703</v>
      </c>
    </row>
    <row r="4492" spans="1:23" x14ac:dyDescent="0.25">
      <c r="A4492">
        <v>2243</v>
      </c>
      <c r="B4492">
        <v>2344</v>
      </c>
      <c r="C4492" t="s">
        <v>6042</v>
      </c>
      <c r="D4492" t="s">
        <v>226</v>
      </c>
      <c r="E4492" t="s">
        <v>76</v>
      </c>
      <c r="F4492" t="s">
        <v>6043</v>
      </c>
      <c r="G4492" t="str">
        <f>"201510003859"</f>
        <v>201510003859</v>
      </c>
      <c r="H4492">
        <v>814</v>
      </c>
      <c r="I4492">
        <v>0</v>
      </c>
      <c r="J4492">
        <v>30</v>
      </c>
      <c r="K4492">
        <v>0</v>
      </c>
      <c r="L4492">
        <v>0</v>
      </c>
      <c r="M4492">
        <v>0</v>
      </c>
      <c r="N4492">
        <v>0</v>
      </c>
      <c r="O4492">
        <v>0</v>
      </c>
      <c r="P4492">
        <v>0</v>
      </c>
      <c r="Q4492">
        <v>0</v>
      </c>
      <c r="R4492">
        <v>0</v>
      </c>
      <c r="S4492">
        <v>0</v>
      </c>
      <c r="T4492">
        <v>0</v>
      </c>
      <c r="V4492">
        <v>0</v>
      </c>
      <c r="W4492">
        <v>844</v>
      </c>
    </row>
    <row r="4493" spans="1:23" x14ac:dyDescent="0.25">
      <c r="H4493">
        <v>703</v>
      </c>
    </row>
    <row r="4494" spans="1:23" x14ac:dyDescent="0.25">
      <c r="A4494">
        <v>2244</v>
      </c>
      <c r="B4494">
        <v>2526</v>
      </c>
      <c r="C4494" t="s">
        <v>6044</v>
      </c>
      <c r="D4494" t="s">
        <v>708</v>
      </c>
      <c r="E4494" t="s">
        <v>350</v>
      </c>
      <c r="F4494" t="s">
        <v>6045</v>
      </c>
      <c r="G4494" t="str">
        <f>"00167494"</f>
        <v>00167494</v>
      </c>
      <c r="H4494" t="s">
        <v>6046</v>
      </c>
      <c r="I4494">
        <v>0</v>
      </c>
      <c r="J4494">
        <v>0</v>
      </c>
      <c r="K4494">
        <v>0</v>
      </c>
      <c r="L4494">
        <v>0</v>
      </c>
      <c r="M4494">
        <v>0</v>
      </c>
      <c r="N4494">
        <v>0</v>
      </c>
      <c r="O4494">
        <v>0</v>
      </c>
      <c r="P4494">
        <v>0</v>
      </c>
      <c r="Q4494">
        <v>0</v>
      </c>
      <c r="R4494">
        <v>0</v>
      </c>
      <c r="S4494">
        <v>0</v>
      </c>
      <c r="T4494">
        <v>0</v>
      </c>
      <c r="V4494">
        <v>0</v>
      </c>
      <c r="W4494" t="s">
        <v>6046</v>
      </c>
    </row>
    <row r="4495" spans="1:23" x14ac:dyDescent="0.25">
      <c r="H4495">
        <v>703</v>
      </c>
    </row>
    <row r="4496" spans="1:23" x14ac:dyDescent="0.25">
      <c r="A4496">
        <v>2245</v>
      </c>
      <c r="B4496">
        <v>252</v>
      </c>
      <c r="C4496" t="s">
        <v>6047</v>
      </c>
      <c r="D4496" t="s">
        <v>14</v>
      </c>
      <c r="E4496" t="s">
        <v>6048</v>
      </c>
      <c r="F4496" t="s">
        <v>6049</v>
      </c>
      <c r="G4496" t="str">
        <f>"201410002096"</f>
        <v>201410002096</v>
      </c>
      <c r="H4496" t="s">
        <v>5957</v>
      </c>
      <c r="I4496">
        <v>0</v>
      </c>
      <c r="J4496">
        <v>0</v>
      </c>
      <c r="K4496">
        <v>0</v>
      </c>
      <c r="L4496">
        <v>0</v>
      </c>
      <c r="M4496">
        <v>0</v>
      </c>
      <c r="N4496">
        <v>0</v>
      </c>
      <c r="O4496">
        <v>0</v>
      </c>
      <c r="P4496">
        <v>0</v>
      </c>
      <c r="Q4496">
        <v>0</v>
      </c>
      <c r="R4496">
        <v>0</v>
      </c>
      <c r="S4496">
        <v>0</v>
      </c>
      <c r="T4496">
        <v>0</v>
      </c>
      <c r="V4496">
        <v>0</v>
      </c>
      <c r="W4496" t="s">
        <v>5957</v>
      </c>
    </row>
    <row r="4497" spans="1:23" x14ac:dyDescent="0.25">
      <c r="H4497" t="s">
        <v>70</v>
      </c>
    </row>
    <row r="4498" spans="1:23" x14ac:dyDescent="0.25">
      <c r="A4498">
        <v>2246</v>
      </c>
      <c r="B4498">
        <v>506</v>
      </c>
      <c r="C4498" t="s">
        <v>6050</v>
      </c>
      <c r="D4498" t="s">
        <v>105</v>
      </c>
      <c r="E4498" t="s">
        <v>99</v>
      </c>
      <c r="F4498" t="s">
        <v>6051</v>
      </c>
      <c r="G4498" t="str">
        <f>"201511033146"</f>
        <v>201511033146</v>
      </c>
      <c r="H4498">
        <v>748</v>
      </c>
      <c r="I4498">
        <v>0</v>
      </c>
      <c r="J4498">
        <v>30</v>
      </c>
      <c r="K4498">
        <v>0</v>
      </c>
      <c r="L4498">
        <v>0</v>
      </c>
      <c r="M4498">
        <v>0</v>
      </c>
      <c r="N4498">
        <v>0</v>
      </c>
      <c r="O4498">
        <v>0</v>
      </c>
      <c r="P4498">
        <v>0</v>
      </c>
      <c r="Q4498">
        <v>0</v>
      </c>
      <c r="R4498">
        <v>9</v>
      </c>
      <c r="S4498">
        <v>63</v>
      </c>
      <c r="T4498">
        <v>0</v>
      </c>
      <c r="V4498">
        <v>0</v>
      </c>
      <c r="W4498">
        <v>841</v>
      </c>
    </row>
    <row r="4499" spans="1:23" x14ac:dyDescent="0.25">
      <c r="H4499" t="s">
        <v>70</v>
      </c>
    </row>
    <row r="4500" spans="1:23" x14ac:dyDescent="0.25">
      <c r="A4500">
        <v>2247</v>
      </c>
      <c r="B4500">
        <v>2090</v>
      </c>
      <c r="C4500" t="s">
        <v>6052</v>
      </c>
      <c r="D4500" t="s">
        <v>57</v>
      </c>
      <c r="E4500" t="s">
        <v>424</v>
      </c>
      <c r="F4500" t="s">
        <v>6053</v>
      </c>
      <c r="G4500" t="str">
        <f>"00200287"</f>
        <v>00200287</v>
      </c>
      <c r="H4500">
        <v>770</v>
      </c>
      <c r="I4500">
        <v>0</v>
      </c>
      <c r="J4500">
        <v>70</v>
      </c>
      <c r="K4500">
        <v>0</v>
      </c>
      <c r="L4500">
        <v>0</v>
      </c>
      <c r="M4500">
        <v>0</v>
      </c>
      <c r="N4500">
        <v>0</v>
      </c>
      <c r="O4500">
        <v>0</v>
      </c>
      <c r="P4500">
        <v>0</v>
      </c>
      <c r="Q4500">
        <v>0</v>
      </c>
      <c r="R4500">
        <v>0</v>
      </c>
      <c r="S4500">
        <v>0</v>
      </c>
      <c r="T4500">
        <v>0</v>
      </c>
      <c r="V4500">
        <v>0</v>
      </c>
      <c r="W4500">
        <v>840</v>
      </c>
    </row>
    <row r="4501" spans="1:23" x14ac:dyDescent="0.25">
      <c r="H4501">
        <v>703</v>
      </c>
    </row>
    <row r="4502" spans="1:23" x14ac:dyDescent="0.25">
      <c r="A4502">
        <v>2248</v>
      </c>
      <c r="B4502">
        <v>1192</v>
      </c>
      <c r="C4502" t="s">
        <v>1825</v>
      </c>
      <c r="D4502" t="s">
        <v>76</v>
      </c>
      <c r="E4502" t="s">
        <v>91</v>
      </c>
      <c r="F4502" t="s">
        <v>6054</v>
      </c>
      <c r="G4502" t="str">
        <f>"00224331"</f>
        <v>00224331</v>
      </c>
      <c r="H4502">
        <v>770</v>
      </c>
      <c r="I4502">
        <v>0</v>
      </c>
      <c r="J4502">
        <v>70</v>
      </c>
      <c r="K4502">
        <v>0</v>
      </c>
      <c r="L4502">
        <v>0</v>
      </c>
      <c r="M4502">
        <v>0</v>
      </c>
      <c r="N4502">
        <v>0</v>
      </c>
      <c r="O4502">
        <v>0</v>
      </c>
      <c r="P4502">
        <v>0</v>
      </c>
      <c r="Q4502">
        <v>0</v>
      </c>
      <c r="R4502">
        <v>0</v>
      </c>
      <c r="S4502">
        <v>0</v>
      </c>
      <c r="T4502">
        <v>0</v>
      </c>
      <c r="V4502">
        <v>2</v>
      </c>
      <c r="W4502">
        <v>840</v>
      </c>
    </row>
    <row r="4503" spans="1:23" x14ac:dyDescent="0.25">
      <c r="H4503">
        <v>703</v>
      </c>
    </row>
    <row r="4504" spans="1:23" x14ac:dyDescent="0.25">
      <c r="A4504">
        <v>2249</v>
      </c>
      <c r="B4504">
        <v>597</v>
      </c>
      <c r="C4504" t="s">
        <v>6055</v>
      </c>
      <c r="D4504" t="s">
        <v>15</v>
      </c>
      <c r="E4504" t="s">
        <v>53</v>
      </c>
      <c r="F4504" t="s">
        <v>6056</v>
      </c>
      <c r="G4504" t="str">
        <f>"201405002139"</f>
        <v>201405002139</v>
      </c>
      <c r="H4504">
        <v>770</v>
      </c>
      <c r="I4504">
        <v>0</v>
      </c>
      <c r="J4504">
        <v>70</v>
      </c>
      <c r="K4504">
        <v>0</v>
      </c>
      <c r="L4504">
        <v>0</v>
      </c>
      <c r="M4504">
        <v>0</v>
      </c>
      <c r="N4504">
        <v>0</v>
      </c>
      <c r="O4504">
        <v>0</v>
      </c>
      <c r="P4504">
        <v>0</v>
      </c>
      <c r="Q4504">
        <v>0</v>
      </c>
      <c r="R4504">
        <v>0</v>
      </c>
      <c r="S4504">
        <v>0</v>
      </c>
      <c r="T4504">
        <v>0</v>
      </c>
      <c r="V4504">
        <v>0</v>
      </c>
      <c r="W4504">
        <v>840</v>
      </c>
    </row>
    <row r="4505" spans="1:23" x14ac:dyDescent="0.25">
      <c r="H4505" t="s">
        <v>26</v>
      </c>
    </row>
    <row r="4506" spans="1:23" x14ac:dyDescent="0.25">
      <c r="A4506">
        <v>2250</v>
      </c>
      <c r="B4506">
        <v>2402</v>
      </c>
      <c r="C4506" t="s">
        <v>6057</v>
      </c>
      <c r="D4506" t="s">
        <v>767</v>
      </c>
      <c r="E4506" t="s">
        <v>227</v>
      </c>
      <c r="F4506" t="s">
        <v>6058</v>
      </c>
      <c r="G4506" t="str">
        <f>"00017429"</f>
        <v>00017429</v>
      </c>
      <c r="H4506" t="s">
        <v>6059</v>
      </c>
      <c r="I4506">
        <v>150</v>
      </c>
      <c r="J4506">
        <v>0</v>
      </c>
      <c r="K4506">
        <v>0</v>
      </c>
      <c r="L4506">
        <v>0</v>
      </c>
      <c r="M4506">
        <v>0</v>
      </c>
      <c r="N4506">
        <v>0</v>
      </c>
      <c r="O4506">
        <v>0</v>
      </c>
      <c r="P4506">
        <v>0</v>
      </c>
      <c r="Q4506">
        <v>0</v>
      </c>
      <c r="R4506">
        <v>0</v>
      </c>
      <c r="S4506">
        <v>0</v>
      </c>
      <c r="T4506">
        <v>0</v>
      </c>
      <c r="V4506">
        <v>0</v>
      </c>
      <c r="W4506" t="s">
        <v>6060</v>
      </c>
    </row>
    <row r="4507" spans="1:23" x14ac:dyDescent="0.25">
      <c r="H4507" t="s">
        <v>2316</v>
      </c>
    </row>
    <row r="4508" spans="1:23" x14ac:dyDescent="0.25">
      <c r="A4508">
        <v>2251</v>
      </c>
      <c r="B4508">
        <v>706</v>
      </c>
      <c r="C4508" t="s">
        <v>6061</v>
      </c>
      <c r="D4508" t="s">
        <v>501</v>
      </c>
      <c r="E4508" t="s">
        <v>91</v>
      </c>
      <c r="F4508" t="s">
        <v>6062</v>
      </c>
      <c r="G4508" t="str">
        <f>"201412005200"</f>
        <v>201412005200</v>
      </c>
      <c r="H4508" t="s">
        <v>2614</v>
      </c>
      <c r="I4508">
        <v>0</v>
      </c>
      <c r="J4508">
        <v>0</v>
      </c>
      <c r="K4508">
        <v>0</v>
      </c>
      <c r="L4508">
        <v>0</v>
      </c>
      <c r="M4508">
        <v>0</v>
      </c>
      <c r="N4508">
        <v>0</v>
      </c>
      <c r="O4508">
        <v>0</v>
      </c>
      <c r="P4508">
        <v>0</v>
      </c>
      <c r="Q4508">
        <v>0</v>
      </c>
      <c r="R4508">
        <v>0</v>
      </c>
      <c r="S4508">
        <v>0</v>
      </c>
      <c r="T4508">
        <v>0</v>
      </c>
      <c r="V4508">
        <v>3</v>
      </c>
      <c r="W4508" t="s">
        <v>2614</v>
      </c>
    </row>
    <row r="4509" spans="1:23" x14ac:dyDescent="0.25">
      <c r="H4509">
        <v>703</v>
      </c>
    </row>
    <row r="4510" spans="1:23" x14ac:dyDescent="0.25">
      <c r="A4510">
        <v>2252</v>
      </c>
      <c r="B4510">
        <v>2934</v>
      </c>
      <c r="C4510" t="s">
        <v>6063</v>
      </c>
      <c r="D4510" t="s">
        <v>3061</v>
      </c>
      <c r="E4510" t="s">
        <v>5963</v>
      </c>
      <c r="F4510" t="s">
        <v>6064</v>
      </c>
      <c r="G4510" t="str">
        <f>"201511040975"</f>
        <v>201511040975</v>
      </c>
      <c r="H4510">
        <v>836</v>
      </c>
      <c r="I4510">
        <v>0</v>
      </c>
      <c r="J4510">
        <v>0</v>
      </c>
      <c r="K4510">
        <v>0</v>
      </c>
      <c r="L4510">
        <v>0</v>
      </c>
      <c r="M4510">
        <v>0</v>
      </c>
      <c r="N4510">
        <v>0</v>
      </c>
      <c r="O4510">
        <v>0</v>
      </c>
      <c r="P4510">
        <v>0</v>
      </c>
      <c r="Q4510">
        <v>0</v>
      </c>
      <c r="R4510">
        <v>0</v>
      </c>
      <c r="S4510">
        <v>0</v>
      </c>
      <c r="T4510">
        <v>0</v>
      </c>
      <c r="V4510">
        <v>1</v>
      </c>
      <c r="W4510">
        <v>836</v>
      </c>
    </row>
    <row r="4511" spans="1:23" x14ac:dyDescent="0.25">
      <c r="H4511">
        <v>703</v>
      </c>
    </row>
    <row r="4512" spans="1:23" x14ac:dyDescent="0.25">
      <c r="A4512">
        <v>2253</v>
      </c>
      <c r="B4512">
        <v>757</v>
      </c>
      <c r="C4512" t="s">
        <v>6065</v>
      </c>
      <c r="D4512" t="s">
        <v>912</v>
      </c>
      <c r="E4512" t="s">
        <v>2469</v>
      </c>
      <c r="F4512" t="s">
        <v>6066</v>
      </c>
      <c r="G4512" t="str">
        <f>"00229172"</f>
        <v>00229172</v>
      </c>
      <c r="H4512" t="s">
        <v>4904</v>
      </c>
      <c r="I4512">
        <v>150</v>
      </c>
      <c r="J4512">
        <v>0</v>
      </c>
      <c r="K4512">
        <v>0</v>
      </c>
      <c r="L4512">
        <v>0</v>
      </c>
      <c r="M4512">
        <v>0</v>
      </c>
      <c r="N4512">
        <v>0</v>
      </c>
      <c r="O4512">
        <v>0</v>
      </c>
      <c r="P4512">
        <v>0</v>
      </c>
      <c r="Q4512">
        <v>0</v>
      </c>
      <c r="R4512">
        <v>6</v>
      </c>
      <c r="S4512">
        <v>42</v>
      </c>
      <c r="T4512">
        <v>0</v>
      </c>
      <c r="V4512">
        <v>0</v>
      </c>
      <c r="W4512" t="s">
        <v>6067</v>
      </c>
    </row>
    <row r="4513" spans="1:23" x14ac:dyDescent="0.25">
      <c r="H4513" t="s">
        <v>70</v>
      </c>
    </row>
    <row r="4514" spans="1:23" x14ac:dyDescent="0.25">
      <c r="A4514">
        <v>2254</v>
      </c>
      <c r="B4514">
        <v>2865</v>
      </c>
      <c r="C4514" t="s">
        <v>6068</v>
      </c>
      <c r="D4514" t="s">
        <v>303</v>
      </c>
      <c r="E4514" t="s">
        <v>105</v>
      </c>
      <c r="F4514" t="s">
        <v>6069</v>
      </c>
      <c r="G4514" t="str">
        <f>"201412002542"</f>
        <v>201412002542</v>
      </c>
      <c r="H4514" t="s">
        <v>3921</v>
      </c>
      <c r="I4514">
        <v>150</v>
      </c>
      <c r="J4514">
        <v>50</v>
      </c>
      <c r="K4514">
        <v>0</v>
      </c>
      <c r="L4514">
        <v>0</v>
      </c>
      <c r="M4514">
        <v>0</v>
      </c>
      <c r="N4514">
        <v>0</v>
      </c>
      <c r="O4514">
        <v>0</v>
      </c>
      <c r="P4514">
        <v>0</v>
      </c>
      <c r="Q4514">
        <v>0</v>
      </c>
      <c r="R4514">
        <v>0</v>
      </c>
      <c r="S4514">
        <v>0</v>
      </c>
      <c r="T4514">
        <v>0</v>
      </c>
      <c r="V4514">
        <v>0</v>
      </c>
      <c r="W4514" t="s">
        <v>6070</v>
      </c>
    </row>
    <row r="4515" spans="1:23" x14ac:dyDescent="0.25">
      <c r="H4515">
        <v>703</v>
      </c>
    </row>
    <row r="4516" spans="1:23" x14ac:dyDescent="0.25">
      <c r="A4516">
        <v>2255</v>
      </c>
      <c r="B4516">
        <v>2567</v>
      </c>
      <c r="C4516" t="s">
        <v>6071</v>
      </c>
      <c r="D4516" t="s">
        <v>15</v>
      </c>
      <c r="E4516" t="s">
        <v>76</v>
      </c>
      <c r="F4516" t="s">
        <v>6072</v>
      </c>
      <c r="G4516" t="str">
        <f>"00140314"</f>
        <v>00140314</v>
      </c>
      <c r="H4516" t="s">
        <v>1514</v>
      </c>
      <c r="I4516">
        <v>0</v>
      </c>
      <c r="J4516">
        <v>0</v>
      </c>
      <c r="K4516">
        <v>0</v>
      </c>
      <c r="L4516">
        <v>0</v>
      </c>
      <c r="M4516">
        <v>0</v>
      </c>
      <c r="N4516">
        <v>0</v>
      </c>
      <c r="O4516">
        <v>0</v>
      </c>
      <c r="P4516">
        <v>0</v>
      </c>
      <c r="Q4516">
        <v>0</v>
      </c>
      <c r="R4516">
        <v>0</v>
      </c>
      <c r="S4516">
        <v>0</v>
      </c>
      <c r="T4516">
        <v>0</v>
      </c>
      <c r="V4516">
        <v>1</v>
      </c>
      <c r="W4516" t="s">
        <v>1514</v>
      </c>
    </row>
    <row r="4517" spans="1:23" x14ac:dyDescent="0.25">
      <c r="H4517">
        <v>703</v>
      </c>
    </row>
    <row r="4518" spans="1:23" x14ac:dyDescent="0.25">
      <c r="A4518">
        <v>2256</v>
      </c>
      <c r="B4518">
        <v>169</v>
      </c>
      <c r="C4518" t="s">
        <v>321</v>
      </c>
      <c r="D4518" t="s">
        <v>4151</v>
      </c>
      <c r="E4518" t="s">
        <v>99</v>
      </c>
      <c r="F4518" t="s">
        <v>6073</v>
      </c>
      <c r="G4518" t="str">
        <f>"200712005313"</f>
        <v>200712005313</v>
      </c>
      <c r="H4518">
        <v>770</v>
      </c>
      <c r="I4518">
        <v>0</v>
      </c>
      <c r="J4518">
        <v>30</v>
      </c>
      <c r="K4518">
        <v>0</v>
      </c>
      <c r="L4518">
        <v>0</v>
      </c>
      <c r="M4518">
        <v>30</v>
      </c>
      <c r="N4518">
        <v>0</v>
      </c>
      <c r="O4518">
        <v>0</v>
      </c>
      <c r="P4518">
        <v>0</v>
      </c>
      <c r="Q4518">
        <v>0</v>
      </c>
      <c r="R4518">
        <v>0</v>
      </c>
      <c r="S4518">
        <v>0</v>
      </c>
      <c r="T4518">
        <v>0</v>
      </c>
      <c r="V4518">
        <v>0</v>
      </c>
      <c r="W4518">
        <v>830</v>
      </c>
    </row>
    <row r="4519" spans="1:23" x14ac:dyDescent="0.25">
      <c r="H4519" t="s">
        <v>70</v>
      </c>
    </row>
    <row r="4520" spans="1:23" x14ac:dyDescent="0.25">
      <c r="A4520">
        <v>2257</v>
      </c>
      <c r="B4520">
        <v>952</v>
      </c>
      <c r="C4520" t="s">
        <v>6074</v>
      </c>
      <c r="D4520" t="s">
        <v>273</v>
      </c>
      <c r="E4520" t="s">
        <v>91</v>
      </c>
      <c r="F4520" t="s">
        <v>6075</v>
      </c>
      <c r="G4520" t="str">
        <f>"00210602"</f>
        <v>00210602</v>
      </c>
      <c r="H4520">
        <v>770</v>
      </c>
      <c r="I4520">
        <v>0</v>
      </c>
      <c r="J4520">
        <v>30</v>
      </c>
      <c r="K4520">
        <v>30</v>
      </c>
      <c r="L4520">
        <v>0</v>
      </c>
      <c r="M4520">
        <v>0</v>
      </c>
      <c r="N4520">
        <v>0</v>
      </c>
      <c r="O4520">
        <v>0</v>
      </c>
      <c r="P4520">
        <v>0</v>
      </c>
      <c r="Q4520">
        <v>0</v>
      </c>
      <c r="R4520">
        <v>0</v>
      </c>
      <c r="S4520">
        <v>0</v>
      </c>
      <c r="T4520">
        <v>0</v>
      </c>
      <c r="V4520">
        <v>0</v>
      </c>
      <c r="W4520">
        <v>830</v>
      </c>
    </row>
    <row r="4521" spans="1:23" x14ac:dyDescent="0.25">
      <c r="H4521" t="s">
        <v>70</v>
      </c>
    </row>
    <row r="4522" spans="1:23" x14ac:dyDescent="0.25">
      <c r="A4522">
        <v>2258</v>
      </c>
      <c r="B4522">
        <v>1408</v>
      </c>
      <c r="C4522" t="s">
        <v>167</v>
      </c>
      <c r="D4522" t="s">
        <v>350</v>
      </c>
      <c r="E4522" t="s">
        <v>2000</v>
      </c>
      <c r="F4522" t="s">
        <v>6076</v>
      </c>
      <c r="G4522" t="str">
        <f>"00037938"</f>
        <v>00037938</v>
      </c>
      <c r="H4522">
        <v>638</v>
      </c>
      <c r="I4522">
        <v>150</v>
      </c>
      <c r="J4522">
        <v>0</v>
      </c>
      <c r="K4522">
        <v>0</v>
      </c>
      <c r="L4522">
        <v>0</v>
      </c>
      <c r="M4522">
        <v>0</v>
      </c>
      <c r="N4522">
        <v>0</v>
      </c>
      <c r="O4522">
        <v>0</v>
      </c>
      <c r="P4522">
        <v>0</v>
      </c>
      <c r="Q4522">
        <v>0</v>
      </c>
      <c r="R4522">
        <v>6</v>
      </c>
      <c r="S4522">
        <v>42</v>
      </c>
      <c r="T4522">
        <v>0</v>
      </c>
      <c r="V4522">
        <v>0</v>
      </c>
      <c r="W4522">
        <v>830</v>
      </c>
    </row>
    <row r="4523" spans="1:23" x14ac:dyDescent="0.25">
      <c r="H4523">
        <v>703</v>
      </c>
    </row>
    <row r="4524" spans="1:23" x14ac:dyDescent="0.25">
      <c r="A4524">
        <v>2259</v>
      </c>
      <c r="B4524">
        <v>831</v>
      </c>
      <c r="C4524" t="s">
        <v>6077</v>
      </c>
      <c r="D4524" t="s">
        <v>5250</v>
      </c>
      <c r="E4524" t="s">
        <v>24</v>
      </c>
      <c r="F4524" t="s">
        <v>6078</v>
      </c>
      <c r="G4524" t="str">
        <f>"201411000894"</f>
        <v>201411000894</v>
      </c>
      <c r="H4524">
        <v>660</v>
      </c>
      <c r="I4524">
        <v>0</v>
      </c>
      <c r="J4524">
        <v>50</v>
      </c>
      <c r="K4524">
        <v>0</v>
      </c>
      <c r="L4524">
        <v>0</v>
      </c>
      <c r="M4524">
        <v>0</v>
      </c>
      <c r="N4524">
        <v>0</v>
      </c>
      <c r="O4524">
        <v>0</v>
      </c>
      <c r="P4524">
        <v>0</v>
      </c>
      <c r="Q4524">
        <v>0</v>
      </c>
      <c r="R4524">
        <v>17</v>
      </c>
      <c r="S4524">
        <v>119</v>
      </c>
      <c r="T4524">
        <v>0</v>
      </c>
      <c r="V4524">
        <v>0</v>
      </c>
      <c r="W4524">
        <v>829</v>
      </c>
    </row>
    <row r="4525" spans="1:23" x14ac:dyDescent="0.25">
      <c r="H4525">
        <v>703</v>
      </c>
    </row>
    <row r="4526" spans="1:23" x14ac:dyDescent="0.25">
      <c r="A4526">
        <v>2260</v>
      </c>
      <c r="B4526">
        <v>2657</v>
      </c>
      <c r="C4526" t="s">
        <v>6079</v>
      </c>
      <c r="D4526" t="s">
        <v>273</v>
      </c>
      <c r="E4526" t="s">
        <v>24</v>
      </c>
      <c r="F4526" t="s">
        <v>6080</v>
      </c>
      <c r="G4526" t="str">
        <f>"00201728"</f>
        <v>00201728</v>
      </c>
      <c r="H4526" t="s">
        <v>4876</v>
      </c>
      <c r="I4526">
        <v>0</v>
      </c>
      <c r="J4526">
        <v>0</v>
      </c>
      <c r="K4526">
        <v>0</v>
      </c>
      <c r="L4526">
        <v>0</v>
      </c>
      <c r="M4526">
        <v>0</v>
      </c>
      <c r="N4526">
        <v>0</v>
      </c>
      <c r="O4526">
        <v>0</v>
      </c>
      <c r="P4526">
        <v>0</v>
      </c>
      <c r="Q4526">
        <v>0</v>
      </c>
      <c r="R4526">
        <v>0</v>
      </c>
      <c r="S4526">
        <v>0</v>
      </c>
      <c r="T4526">
        <v>0</v>
      </c>
      <c r="V4526">
        <v>0</v>
      </c>
      <c r="W4526" t="s">
        <v>4876</v>
      </c>
    </row>
    <row r="4527" spans="1:23" x14ac:dyDescent="0.25">
      <c r="H4527">
        <v>703</v>
      </c>
    </row>
    <row r="4528" spans="1:23" x14ac:dyDescent="0.25">
      <c r="A4528">
        <v>2261</v>
      </c>
      <c r="B4528">
        <v>2350</v>
      </c>
      <c r="C4528" t="s">
        <v>1463</v>
      </c>
      <c r="D4528" t="s">
        <v>273</v>
      </c>
      <c r="E4528" t="s">
        <v>53</v>
      </c>
      <c r="F4528" t="s">
        <v>6081</v>
      </c>
      <c r="G4528" t="str">
        <f>"201402003742"</f>
        <v>201402003742</v>
      </c>
      <c r="H4528" t="s">
        <v>2811</v>
      </c>
      <c r="I4528">
        <v>0</v>
      </c>
      <c r="J4528">
        <v>50</v>
      </c>
      <c r="K4528">
        <v>0</v>
      </c>
      <c r="L4528">
        <v>0</v>
      </c>
      <c r="M4528">
        <v>0</v>
      </c>
      <c r="N4528">
        <v>0</v>
      </c>
      <c r="O4528">
        <v>0</v>
      </c>
      <c r="P4528">
        <v>0</v>
      </c>
      <c r="Q4528">
        <v>0</v>
      </c>
      <c r="R4528">
        <v>0</v>
      </c>
      <c r="S4528">
        <v>0</v>
      </c>
      <c r="T4528">
        <v>0</v>
      </c>
      <c r="V4528">
        <v>1</v>
      </c>
      <c r="W4528" t="s">
        <v>6082</v>
      </c>
    </row>
    <row r="4529" spans="1:23" x14ac:dyDescent="0.25">
      <c r="H4529">
        <v>703</v>
      </c>
    </row>
    <row r="4530" spans="1:23" x14ac:dyDescent="0.25">
      <c r="A4530">
        <v>2262</v>
      </c>
      <c r="B4530">
        <v>3062</v>
      </c>
      <c r="C4530" t="s">
        <v>1156</v>
      </c>
      <c r="D4530" t="s">
        <v>6083</v>
      </c>
      <c r="E4530" t="s">
        <v>372</v>
      </c>
      <c r="F4530" t="s">
        <v>6084</v>
      </c>
      <c r="G4530" t="str">
        <f>"00028772"</f>
        <v>00028772</v>
      </c>
      <c r="H4530">
        <v>825</v>
      </c>
      <c r="I4530">
        <v>0</v>
      </c>
      <c r="J4530">
        <v>0</v>
      </c>
      <c r="K4530">
        <v>0</v>
      </c>
      <c r="L4530">
        <v>0</v>
      </c>
      <c r="M4530">
        <v>0</v>
      </c>
      <c r="N4530">
        <v>0</v>
      </c>
      <c r="O4530">
        <v>0</v>
      </c>
      <c r="P4530">
        <v>0</v>
      </c>
      <c r="Q4530">
        <v>0</v>
      </c>
      <c r="R4530">
        <v>0</v>
      </c>
      <c r="S4530">
        <v>0</v>
      </c>
      <c r="T4530">
        <v>0</v>
      </c>
      <c r="V4530">
        <v>1</v>
      </c>
      <c r="W4530">
        <v>825</v>
      </c>
    </row>
    <row r="4531" spans="1:23" x14ac:dyDescent="0.25">
      <c r="H4531">
        <v>703</v>
      </c>
    </row>
    <row r="4532" spans="1:23" x14ac:dyDescent="0.25">
      <c r="A4532">
        <v>2263</v>
      </c>
      <c r="B4532">
        <v>99</v>
      </c>
      <c r="C4532" t="s">
        <v>6085</v>
      </c>
      <c r="D4532" t="s">
        <v>226</v>
      </c>
      <c r="E4532" t="s">
        <v>424</v>
      </c>
      <c r="F4532" t="s">
        <v>6086</v>
      </c>
      <c r="G4532" t="str">
        <f>"201511033309"</f>
        <v>201511033309</v>
      </c>
      <c r="H4532">
        <v>825</v>
      </c>
      <c r="I4532">
        <v>0</v>
      </c>
      <c r="J4532">
        <v>0</v>
      </c>
      <c r="K4532">
        <v>0</v>
      </c>
      <c r="L4532">
        <v>0</v>
      </c>
      <c r="M4532">
        <v>0</v>
      </c>
      <c r="N4532">
        <v>0</v>
      </c>
      <c r="O4532">
        <v>0</v>
      </c>
      <c r="P4532">
        <v>0</v>
      </c>
      <c r="Q4532">
        <v>0</v>
      </c>
      <c r="R4532">
        <v>0</v>
      </c>
      <c r="S4532">
        <v>0</v>
      </c>
      <c r="T4532">
        <v>0</v>
      </c>
      <c r="V4532">
        <v>1</v>
      </c>
      <c r="W4532">
        <v>825</v>
      </c>
    </row>
    <row r="4533" spans="1:23" x14ac:dyDescent="0.25">
      <c r="H4533">
        <v>703</v>
      </c>
    </row>
    <row r="4534" spans="1:23" x14ac:dyDescent="0.25">
      <c r="A4534">
        <v>2264</v>
      </c>
      <c r="B4534">
        <v>157</v>
      </c>
      <c r="C4534" t="s">
        <v>6087</v>
      </c>
      <c r="D4534" t="s">
        <v>46</v>
      </c>
      <c r="E4534" t="s">
        <v>58</v>
      </c>
      <c r="F4534" t="s">
        <v>6088</v>
      </c>
      <c r="G4534" t="str">
        <f>"201411003567"</f>
        <v>201411003567</v>
      </c>
      <c r="H4534">
        <v>825</v>
      </c>
      <c r="I4534">
        <v>0</v>
      </c>
      <c r="J4534">
        <v>0</v>
      </c>
      <c r="K4534">
        <v>0</v>
      </c>
      <c r="L4534">
        <v>0</v>
      </c>
      <c r="M4534">
        <v>0</v>
      </c>
      <c r="N4534">
        <v>0</v>
      </c>
      <c r="O4534">
        <v>0</v>
      </c>
      <c r="P4534">
        <v>0</v>
      </c>
      <c r="Q4534">
        <v>0</v>
      </c>
      <c r="R4534">
        <v>0</v>
      </c>
      <c r="S4534">
        <v>0</v>
      </c>
      <c r="T4534">
        <v>0</v>
      </c>
      <c r="V4534">
        <v>0</v>
      </c>
      <c r="W4534">
        <v>825</v>
      </c>
    </row>
    <row r="4535" spans="1:23" x14ac:dyDescent="0.25">
      <c r="H4535">
        <v>703</v>
      </c>
    </row>
    <row r="4536" spans="1:23" x14ac:dyDescent="0.25">
      <c r="A4536">
        <v>2265</v>
      </c>
      <c r="B4536">
        <v>3015</v>
      </c>
      <c r="C4536" t="s">
        <v>6089</v>
      </c>
      <c r="D4536" t="s">
        <v>40</v>
      </c>
      <c r="E4536" t="s">
        <v>33</v>
      </c>
      <c r="F4536" t="s">
        <v>6090</v>
      </c>
      <c r="G4536" t="str">
        <f>"00154893"</f>
        <v>00154893</v>
      </c>
      <c r="H4536">
        <v>825</v>
      </c>
      <c r="I4536">
        <v>0</v>
      </c>
      <c r="J4536">
        <v>0</v>
      </c>
      <c r="K4536">
        <v>0</v>
      </c>
      <c r="L4536">
        <v>0</v>
      </c>
      <c r="M4536">
        <v>0</v>
      </c>
      <c r="N4536">
        <v>0</v>
      </c>
      <c r="O4536">
        <v>0</v>
      </c>
      <c r="P4536">
        <v>0</v>
      </c>
      <c r="Q4536">
        <v>0</v>
      </c>
      <c r="R4536">
        <v>0</v>
      </c>
      <c r="S4536">
        <v>0</v>
      </c>
      <c r="T4536">
        <v>0</v>
      </c>
      <c r="V4536">
        <v>0</v>
      </c>
      <c r="W4536">
        <v>825</v>
      </c>
    </row>
    <row r="4537" spans="1:23" x14ac:dyDescent="0.25">
      <c r="H4537">
        <v>703</v>
      </c>
    </row>
    <row r="4538" spans="1:23" x14ac:dyDescent="0.25">
      <c r="A4538">
        <v>2266</v>
      </c>
      <c r="B4538">
        <v>732</v>
      </c>
      <c r="C4538" t="s">
        <v>6091</v>
      </c>
      <c r="D4538" t="s">
        <v>134</v>
      </c>
      <c r="E4538" t="s">
        <v>482</v>
      </c>
      <c r="F4538" t="s">
        <v>6092</v>
      </c>
      <c r="G4538" t="str">
        <f>"201406005612"</f>
        <v>201406005612</v>
      </c>
      <c r="H4538">
        <v>825</v>
      </c>
      <c r="I4538">
        <v>0</v>
      </c>
      <c r="J4538">
        <v>0</v>
      </c>
      <c r="K4538">
        <v>0</v>
      </c>
      <c r="L4538">
        <v>0</v>
      </c>
      <c r="M4538">
        <v>0</v>
      </c>
      <c r="N4538">
        <v>0</v>
      </c>
      <c r="O4538">
        <v>0</v>
      </c>
      <c r="P4538">
        <v>0</v>
      </c>
      <c r="Q4538">
        <v>0</v>
      </c>
      <c r="R4538">
        <v>0</v>
      </c>
      <c r="S4538">
        <v>0</v>
      </c>
      <c r="T4538">
        <v>0</v>
      </c>
      <c r="V4538">
        <v>0</v>
      </c>
      <c r="W4538">
        <v>825</v>
      </c>
    </row>
    <row r="4539" spans="1:23" x14ac:dyDescent="0.25">
      <c r="H4539">
        <v>703</v>
      </c>
    </row>
    <row r="4540" spans="1:23" x14ac:dyDescent="0.25">
      <c r="A4540">
        <v>2267</v>
      </c>
      <c r="B4540">
        <v>2049</v>
      </c>
      <c r="C4540" t="s">
        <v>6093</v>
      </c>
      <c r="D4540" t="s">
        <v>219</v>
      </c>
      <c r="E4540" t="s">
        <v>53</v>
      </c>
      <c r="F4540" t="s">
        <v>6094</v>
      </c>
      <c r="G4540" t="str">
        <f>"00162497"</f>
        <v>00162497</v>
      </c>
      <c r="H4540">
        <v>825</v>
      </c>
      <c r="I4540">
        <v>0</v>
      </c>
      <c r="J4540">
        <v>0</v>
      </c>
      <c r="K4540">
        <v>0</v>
      </c>
      <c r="L4540">
        <v>0</v>
      </c>
      <c r="M4540">
        <v>0</v>
      </c>
      <c r="N4540">
        <v>0</v>
      </c>
      <c r="O4540">
        <v>0</v>
      </c>
      <c r="P4540">
        <v>0</v>
      </c>
      <c r="Q4540">
        <v>0</v>
      </c>
      <c r="R4540">
        <v>0</v>
      </c>
      <c r="S4540">
        <v>0</v>
      </c>
      <c r="T4540">
        <v>0</v>
      </c>
      <c r="V4540">
        <v>0</v>
      </c>
      <c r="W4540">
        <v>825</v>
      </c>
    </row>
    <row r="4541" spans="1:23" x14ac:dyDescent="0.25">
      <c r="H4541">
        <v>703</v>
      </c>
    </row>
    <row r="4542" spans="1:23" x14ac:dyDescent="0.25">
      <c r="A4542">
        <v>2268</v>
      </c>
      <c r="B4542">
        <v>1513</v>
      </c>
      <c r="C4542" t="s">
        <v>6095</v>
      </c>
      <c r="D4542" t="s">
        <v>6096</v>
      </c>
      <c r="E4542" t="s">
        <v>15</v>
      </c>
      <c r="F4542" t="s">
        <v>6097</v>
      </c>
      <c r="G4542" t="str">
        <f>"00200766"</f>
        <v>00200766</v>
      </c>
      <c r="H4542">
        <v>825</v>
      </c>
      <c r="I4542">
        <v>0</v>
      </c>
      <c r="J4542">
        <v>0</v>
      </c>
      <c r="K4542">
        <v>0</v>
      </c>
      <c r="L4542">
        <v>0</v>
      </c>
      <c r="M4542">
        <v>0</v>
      </c>
      <c r="N4542">
        <v>0</v>
      </c>
      <c r="O4542">
        <v>0</v>
      </c>
      <c r="P4542">
        <v>0</v>
      </c>
      <c r="Q4542">
        <v>0</v>
      </c>
      <c r="R4542">
        <v>0</v>
      </c>
      <c r="S4542">
        <v>0</v>
      </c>
      <c r="T4542">
        <v>0</v>
      </c>
      <c r="V4542">
        <v>2</v>
      </c>
      <c r="W4542">
        <v>825</v>
      </c>
    </row>
    <row r="4543" spans="1:23" x14ac:dyDescent="0.25">
      <c r="H4543">
        <v>703</v>
      </c>
    </row>
    <row r="4544" spans="1:23" x14ac:dyDescent="0.25">
      <c r="A4544">
        <v>2269</v>
      </c>
      <c r="B4544">
        <v>56</v>
      </c>
      <c r="C4544" t="s">
        <v>6098</v>
      </c>
      <c r="D4544" t="s">
        <v>273</v>
      </c>
      <c r="E4544" t="s">
        <v>41</v>
      </c>
      <c r="F4544" t="s">
        <v>6099</v>
      </c>
      <c r="G4544" t="str">
        <f>"201406014954"</f>
        <v>201406014954</v>
      </c>
      <c r="H4544">
        <v>671</v>
      </c>
      <c r="I4544">
        <v>0</v>
      </c>
      <c r="J4544">
        <v>0</v>
      </c>
      <c r="K4544">
        <v>0</v>
      </c>
      <c r="L4544">
        <v>0</v>
      </c>
      <c r="M4544">
        <v>0</v>
      </c>
      <c r="N4544">
        <v>0</v>
      </c>
      <c r="O4544">
        <v>0</v>
      </c>
      <c r="P4544">
        <v>0</v>
      </c>
      <c r="Q4544">
        <v>0</v>
      </c>
      <c r="R4544">
        <v>22</v>
      </c>
      <c r="S4544">
        <v>154</v>
      </c>
      <c r="T4544">
        <v>0</v>
      </c>
      <c r="V4544">
        <v>0</v>
      </c>
      <c r="W4544">
        <v>825</v>
      </c>
    </row>
    <row r="4545" spans="1:23" x14ac:dyDescent="0.25">
      <c r="H4545">
        <v>703</v>
      </c>
    </row>
    <row r="4546" spans="1:23" x14ac:dyDescent="0.25">
      <c r="A4546">
        <v>2270</v>
      </c>
      <c r="B4546">
        <v>2298</v>
      </c>
      <c r="C4546" t="s">
        <v>995</v>
      </c>
      <c r="D4546" t="s">
        <v>33</v>
      </c>
      <c r="E4546" t="s">
        <v>15</v>
      </c>
      <c r="F4546" t="s">
        <v>6100</v>
      </c>
      <c r="G4546" t="str">
        <f>"201507001466"</f>
        <v>201507001466</v>
      </c>
      <c r="H4546" t="s">
        <v>3523</v>
      </c>
      <c r="I4546">
        <v>0</v>
      </c>
      <c r="J4546">
        <v>30</v>
      </c>
      <c r="K4546">
        <v>0</v>
      </c>
      <c r="L4546">
        <v>0</v>
      </c>
      <c r="M4546">
        <v>0</v>
      </c>
      <c r="N4546">
        <v>0</v>
      </c>
      <c r="O4546">
        <v>0</v>
      </c>
      <c r="P4546">
        <v>0</v>
      </c>
      <c r="Q4546">
        <v>0</v>
      </c>
      <c r="R4546">
        <v>0</v>
      </c>
      <c r="S4546">
        <v>0</v>
      </c>
      <c r="T4546">
        <v>0</v>
      </c>
      <c r="V4546">
        <v>0</v>
      </c>
      <c r="W4546" t="s">
        <v>6101</v>
      </c>
    </row>
    <row r="4547" spans="1:23" x14ac:dyDescent="0.25">
      <c r="H4547">
        <v>703</v>
      </c>
    </row>
    <row r="4548" spans="1:23" x14ac:dyDescent="0.25">
      <c r="A4548">
        <v>2271</v>
      </c>
      <c r="B4548">
        <v>2172</v>
      </c>
      <c r="C4548" t="s">
        <v>6102</v>
      </c>
      <c r="D4548" t="s">
        <v>873</v>
      </c>
      <c r="E4548" t="s">
        <v>109</v>
      </c>
      <c r="F4548" t="s">
        <v>6103</v>
      </c>
      <c r="G4548" t="str">
        <f>"00138374"</f>
        <v>00138374</v>
      </c>
      <c r="H4548">
        <v>792</v>
      </c>
      <c r="I4548">
        <v>0</v>
      </c>
      <c r="J4548">
        <v>30</v>
      </c>
      <c r="K4548">
        <v>0</v>
      </c>
      <c r="L4548">
        <v>0</v>
      </c>
      <c r="M4548">
        <v>0</v>
      </c>
      <c r="N4548">
        <v>0</v>
      </c>
      <c r="O4548">
        <v>0</v>
      </c>
      <c r="P4548">
        <v>0</v>
      </c>
      <c r="Q4548">
        <v>0</v>
      </c>
      <c r="R4548">
        <v>0</v>
      </c>
      <c r="S4548">
        <v>0</v>
      </c>
      <c r="T4548">
        <v>0</v>
      </c>
      <c r="V4548">
        <v>0</v>
      </c>
      <c r="W4548">
        <v>822</v>
      </c>
    </row>
    <row r="4549" spans="1:23" x14ac:dyDescent="0.25">
      <c r="H4549" t="s">
        <v>26</v>
      </c>
    </row>
    <row r="4550" spans="1:23" x14ac:dyDescent="0.25">
      <c r="A4550">
        <v>2272</v>
      </c>
      <c r="B4550">
        <v>2282</v>
      </c>
      <c r="C4550" t="s">
        <v>113</v>
      </c>
      <c r="D4550" t="s">
        <v>33</v>
      </c>
      <c r="E4550" t="s">
        <v>99</v>
      </c>
      <c r="F4550" t="s">
        <v>6104</v>
      </c>
      <c r="G4550" t="str">
        <f>"00108045"</f>
        <v>00108045</v>
      </c>
      <c r="H4550" t="s">
        <v>3465</v>
      </c>
      <c r="I4550">
        <v>150</v>
      </c>
      <c r="J4550">
        <v>0</v>
      </c>
      <c r="K4550">
        <v>0</v>
      </c>
      <c r="L4550">
        <v>0</v>
      </c>
      <c r="M4550">
        <v>0</v>
      </c>
      <c r="N4550">
        <v>0</v>
      </c>
      <c r="O4550">
        <v>0</v>
      </c>
      <c r="P4550">
        <v>0</v>
      </c>
      <c r="Q4550">
        <v>0</v>
      </c>
      <c r="R4550">
        <v>0</v>
      </c>
      <c r="S4550">
        <v>0</v>
      </c>
      <c r="T4550">
        <v>0</v>
      </c>
      <c r="V4550">
        <v>0</v>
      </c>
      <c r="W4550" t="s">
        <v>6105</v>
      </c>
    </row>
    <row r="4551" spans="1:23" x14ac:dyDescent="0.25">
      <c r="H4551">
        <v>703</v>
      </c>
    </row>
    <row r="4552" spans="1:23" x14ac:dyDescent="0.25">
      <c r="A4552">
        <v>2273</v>
      </c>
      <c r="B4552">
        <v>1407</v>
      </c>
      <c r="C4552" t="s">
        <v>3590</v>
      </c>
      <c r="D4552" t="s">
        <v>3095</v>
      </c>
      <c r="E4552" t="s">
        <v>303</v>
      </c>
      <c r="F4552" t="s">
        <v>6106</v>
      </c>
      <c r="G4552" t="str">
        <f>"201511040916"</f>
        <v>201511040916</v>
      </c>
      <c r="H4552">
        <v>627</v>
      </c>
      <c r="I4552">
        <v>150</v>
      </c>
      <c r="J4552">
        <v>0</v>
      </c>
      <c r="K4552">
        <v>0</v>
      </c>
      <c r="L4552">
        <v>0</v>
      </c>
      <c r="M4552">
        <v>0</v>
      </c>
      <c r="N4552">
        <v>0</v>
      </c>
      <c r="O4552">
        <v>0</v>
      </c>
      <c r="P4552">
        <v>0</v>
      </c>
      <c r="Q4552">
        <v>0</v>
      </c>
      <c r="R4552">
        <v>6</v>
      </c>
      <c r="S4552">
        <v>42</v>
      </c>
      <c r="T4552">
        <v>0</v>
      </c>
      <c r="V4552">
        <v>0</v>
      </c>
      <c r="W4552">
        <v>819</v>
      </c>
    </row>
    <row r="4553" spans="1:23" x14ac:dyDescent="0.25">
      <c r="H4553" t="s">
        <v>2316</v>
      </c>
    </row>
    <row r="4554" spans="1:23" x14ac:dyDescent="0.25">
      <c r="A4554">
        <v>2274</v>
      </c>
      <c r="B4554">
        <v>2513</v>
      </c>
      <c r="C4554" t="s">
        <v>2253</v>
      </c>
      <c r="D4554" t="s">
        <v>46</v>
      </c>
      <c r="E4554" t="s">
        <v>62</v>
      </c>
      <c r="F4554" t="s">
        <v>6107</v>
      </c>
      <c r="G4554" t="str">
        <f>"00184995"</f>
        <v>00184995</v>
      </c>
      <c r="H4554" t="s">
        <v>1228</v>
      </c>
      <c r="I4554">
        <v>0</v>
      </c>
      <c r="J4554">
        <v>30</v>
      </c>
      <c r="K4554">
        <v>0</v>
      </c>
      <c r="L4554">
        <v>0</v>
      </c>
      <c r="M4554">
        <v>0</v>
      </c>
      <c r="N4554">
        <v>0</v>
      </c>
      <c r="O4554">
        <v>0</v>
      </c>
      <c r="P4554">
        <v>0</v>
      </c>
      <c r="Q4554">
        <v>0</v>
      </c>
      <c r="R4554">
        <v>0</v>
      </c>
      <c r="S4554">
        <v>0</v>
      </c>
      <c r="T4554">
        <v>0</v>
      </c>
      <c r="V4554">
        <v>0</v>
      </c>
      <c r="W4554" t="s">
        <v>6108</v>
      </c>
    </row>
    <row r="4555" spans="1:23" x14ac:dyDescent="0.25">
      <c r="H4555">
        <v>703</v>
      </c>
    </row>
    <row r="4556" spans="1:23" x14ac:dyDescent="0.25">
      <c r="A4556">
        <v>2275</v>
      </c>
      <c r="B4556">
        <v>1274</v>
      </c>
      <c r="C4556" t="s">
        <v>6109</v>
      </c>
      <c r="D4556" t="s">
        <v>6110</v>
      </c>
      <c r="E4556" t="s">
        <v>423</v>
      </c>
      <c r="F4556" t="s">
        <v>6111</v>
      </c>
      <c r="G4556" t="str">
        <f>"00228685"</f>
        <v>00228685</v>
      </c>
      <c r="H4556" t="s">
        <v>6112</v>
      </c>
      <c r="I4556">
        <v>0</v>
      </c>
      <c r="J4556">
        <v>0</v>
      </c>
      <c r="K4556">
        <v>0</v>
      </c>
      <c r="L4556">
        <v>0</v>
      </c>
      <c r="M4556">
        <v>0</v>
      </c>
      <c r="N4556">
        <v>0</v>
      </c>
      <c r="O4556">
        <v>0</v>
      </c>
      <c r="P4556">
        <v>0</v>
      </c>
      <c r="Q4556">
        <v>0</v>
      </c>
      <c r="R4556">
        <v>17</v>
      </c>
      <c r="S4556">
        <v>119</v>
      </c>
      <c r="T4556">
        <v>0</v>
      </c>
      <c r="V4556">
        <v>0</v>
      </c>
      <c r="W4556" t="s">
        <v>6113</v>
      </c>
    </row>
    <row r="4557" spans="1:23" x14ac:dyDescent="0.25">
      <c r="H4557">
        <v>703</v>
      </c>
    </row>
    <row r="4558" spans="1:23" x14ac:dyDescent="0.25">
      <c r="A4558">
        <v>2276</v>
      </c>
      <c r="B4558">
        <v>586</v>
      </c>
      <c r="C4558" t="s">
        <v>6114</v>
      </c>
      <c r="D4558" t="s">
        <v>41</v>
      </c>
      <c r="E4558" t="s">
        <v>91</v>
      </c>
      <c r="F4558" t="s">
        <v>6115</v>
      </c>
      <c r="G4558" t="str">
        <f>"201407000094"</f>
        <v>201407000094</v>
      </c>
      <c r="H4558" t="s">
        <v>6116</v>
      </c>
      <c r="I4558">
        <v>150</v>
      </c>
      <c r="J4558">
        <v>30</v>
      </c>
      <c r="K4558">
        <v>0</v>
      </c>
      <c r="L4558">
        <v>0</v>
      </c>
      <c r="M4558">
        <v>0</v>
      </c>
      <c r="N4558">
        <v>0</v>
      </c>
      <c r="O4558">
        <v>0</v>
      </c>
      <c r="P4558">
        <v>0</v>
      </c>
      <c r="Q4558">
        <v>0</v>
      </c>
      <c r="R4558">
        <v>0</v>
      </c>
      <c r="S4558">
        <v>0</v>
      </c>
      <c r="T4558">
        <v>0</v>
      </c>
      <c r="V4558">
        <v>0</v>
      </c>
      <c r="W4558" t="s">
        <v>6117</v>
      </c>
    </row>
    <row r="4559" spans="1:23" x14ac:dyDescent="0.25">
      <c r="H4559" t="s">
        <v>26</v>
      </c>
    </row>
    <row r="4560" spans="1:23" x14ac:dyDescent="0.25">
      <c r="A4560">
        <v>2277</v>
      </c>
      <c r="B4560">
        <v>1817</v>
      </c>
      <c r="C4560" t="s">
        <v>3565</v>
      </c>
      <c r="D4560" t="s">
        <v>654</v>
      </c>
      <c r="E4560" t="s">
        <v>53</v>
      </c>
      <c r="F4560" t="s">
        <v>6118</v>
      </c>
      <c r="G4560" t="str">
        <f>"201409000839"</f>
        <v>201409000839</v>
      </c>
      <c r="H4560">
        <v>814</v>
      </c>
      <c r="I4560">
        <v>0</v>
      </c>
      <c r="J4560">
        <v>0</v>
      </c>
      <c r="K4560">
        <v>0</v>
      </c>
      <c r="L4560">
        <v>0</v>
      </c>
      <c r="M4560">
        <v>0</v>
      </c>
      <c r="N4560">
        <v>0</v>
      </c>
      <c r="O4560">
        <v>0</v>
      </c>
      <c r="P4560">
        <v>0</v>
      </c>
      <c r="Q4560">
        <v>0</v>
      </c>
      <c r="R4560">
        <v>0</v>
      </c>
      <c r="S4560">
        <v>0</v>
      </c>
      <c r="T4560">
        <v>0</v>
      </c>
      <c r="V4560">
        <v>0</v>
      </c>
      <c r="W4560">
        <v>814</v>
      </c>
    </row>
    <row r="4561" spans="1:23" x14ac:dyDescent="0.25">
      <c r="H4561" t="s">
        <v>26</v>
      </c>
    </row>
    <row r="4562" spans="1:23" x14ac:dyDescent="0.25">
      <c r="A4562">
        <v>2278</v>
      </c>
      <c r="B4562">
        <v>3059</v>
      </c>
      <c r="C4562" t="s">
        <v>6119</v>
      </c>
      <c r="D4562" t="s">
        <v>293</v>
      </c>
      <c r="E4562" t="s">
        <v>76</v>
      </c>
      <c r="F4562" t="s">
        <v>6120</v>
      </c>
      <c r="G4562" t="str">
        <f>"201406007703"</f>
        <v>201406007703</v>
      </c>
      <c r="H4562">
        <v>814</v>
      </c>
      <c r="I4562">
        <v>0</v>
      </c>
      <c r="J4562">
        <v>0</v>
      </c>
      <c r="K4562">
        <v>0</v>
      </c>
      <c r="L4562">
        <v>0</v>
      </c>
      <c r="M4562">
        <v>0</v>
      </c>
      <c r="N4562">
        <v>0</v>
      </c>
      <c r="O4562">
        <v>0</v>
      </c>
      <c r="P4562">
        <v>0</v>
      </c>
      <c r="Q4562">
        <v>0</v>
      </c>
      <c r="R4562">
        <v>0</v>
      </c>
      <c r="S4562">
        <v>0</v>
      </c>
      <c r="T4562">
        <v>0</v>
      </c>
      <c r="V4562">
        <v>0</v>
      </c>
      <c r="W4562">
        <v>814</v>
      </c>
    </row>
    <row r="4563" spans="1:23" x14ac:dyDescent="0.25">
      <c r="H4563">
        <v>703</v>
      </c>
    </row>
    <row r="4564" spans="1:23" x14ac:dyDescent="0.25">
      <c r="A4564">
        <v>2279</v>
      </c>
      <c r="B4564">
        <v>2993</v>
      </c>
      <c r="C4564" t="s">
        <v>6121</v>
      </c>
      <c r="D4564" t="s">
        <v>112</v>
      </c>
      <c r="E4564" t="s">
        <v>3924</v>
      </c>
      <c r="F4564" t="s">
        <v>6122</v>
      </c>
      <c r="G4564" t="str">
        <f>"201504001929"</f>
        <v>201504001929</v>
      </c>
      <c r="H4564" t="s">
        <v>2191</v>
      </c>
      <c r="I4564">
        <v>0</v>
      </c>
      <c r="J4564">
        <v>30</v>
      </c>
      <c r="K4564">
        <v>0</v>
      </c>
      <c r="L4564">
        <v>30</v>
      </c>
      <c r="M4564">
        <v>0</v>
      </c>
      <c r="N4564">
        <v>0</v>
      </c>
      <c r="O4564">
        <v>0</v>
      </c>
      <c r="P4564">
        <v>0</v>
      </c>
      <c r="Q4564">
        <v>0</v>
      </c>
      <c r="R4564">
        <v>0</v>
      </c>
      <c r="S4564">
        <v>0</v>
      </c>
      <c r="T4564">
        <v>0</v>
      </c>
      <c r="V4564">
        <v>0</v>
      </c>
      <c r="W4564" t="s">
        <v>6123</v>
      </c>
    </row>
    <row r="4565" spans="1:23" x14ac:dyDescent="0.25">
      <c r="H4565" t="s">
        <v>70</v>
      </c>
    </row>
    <row r="4566" spans="1:23" x14ac:dyDescent="0.25">
      <c r="A4566">
        <v>2280</v>
      </c>
      <c r="B4566">
        <v>2817</v>
      </c>
      <c r="C4566" t="s">
        <v>6124</v>
      </c>
      <c r="D4566" t="s">
        <v>660</v>
      </c>
      <c r="E4566" t="s">
        <v>356</v>
      </c>
      <c r="F4566" t="s">
        <v>6125</v>
      </c>
      <c r="G4566" t="str">
        <f>"201401002032"</f>
        <v>201401002032</v>
      </c>
      <c r="H4566">
        <v>770</v>
      </c>
      <c r="I4566">
        <v>0</v>
      </c>
      <c r="J4566">
        <v>0</v>
      </c>
      <c r="K4566">
        <v>0</v>
      </c>
      <c r="L4566">
        <v>0</v>
      </c>
      <c r="M4566">
        <v>0</v>
      </c>
      <c r="N4566">
        <v>0</v>
      </c>
      <c r="O4566">
        <v>0</v>
      </c>
      <c r="P4566">
        <v>0</v>
      </c>
      <c r="Q4566">
        <v>0</v>
      </c>
      <c r="R4566">
        <v>6</v>
      </c>
      <c r="S4566">
        <v>42</v>
      </c>
      <c r="T4566">
        <v>0</v>
      </c>
      <c r="V4566">
        <v>0</v>
      </c>
      <c r="W4566">
        <v>812</v>
      </c>
    </row>
    <row r="4567" spans="1:23" x14ac:dyDescent="0.25">
      <c r="H4567">
        <v>703</v>
      </c>
    </row>
    <row r="4568" spans="1:23" x14ac:dyDescent="0.25">
      <c r="A4568">
        <v>2281</v>
      </c>
      <c r="B4568">
        <v>1636</v>
      </c>
      <c r="C4568" t="s">
        <v>6126</v>
      </c>
      <c r="D4568" t="s">
        <v>6127</v>
      </c>
      <c r="E4568" t="s">
        <v>424</v>
      </c>
      <c r="F4568" t="s">
        <v>6128</v>
      </c>
      <c r="G4568" t="str">
        <f>"201511000058"</f>
        <v>201511000058</v>
      </c>
      <c r="H4568">
        <v>660</v>
      </c>
      <c r="I4568">
        <v>0</v>
      </c>
      <c r="J4568">
        <v>70</v>
      </c>
      <c r="K4568">
        <v>50</v>
      </c>
      <c r="L4568">
        <v>0</v>
      </c>
      <c r="M4568">
        <v>30</v>
      </c>
      <c r="N4568">
        <v>0</v>
      </c>
      <c r="O4568">
        <v>0</v>
      </c>
      <c r="P4568">
        <v>0</v>
      </c>
      <c r="Q4568">
        <v>0</v>
      </c>
      <c r="R4568">
        <v>0</v>
      </c>
      <c r="S4568">
        <v>0</v>
      </c>
      <c r="T4568">
        <v>0</v>
      </c>
      <c r="V4568">
        <v>0</v>
      </c>
      <c r="W4568">
        <v>810</v>
      </c>
    </row>
    <row r="4569" spans="1:23" x14ac:dyDescent="0.25">
      <c r="H4569" t="s">
        <v>70</v>
      </c>
    </row>
    <row r="4570" spans="1:23" x14ac:dyDescent="0.25">
      <c r="A4570">
        <v>2282</v>
      </c>
      <c r="B4570">
        <v>1016</v>
      </c>
      <c r="C4570" t="s">
        <v>5959</v>
      </c>
      <c r="D4570" t="s">
        <v>185</v>
      </c>
      <c r="E4570" t="s">
        <v>53</v>
      </c>
      <c r="F4570" t="s">
        <v>6129</v>
      </c>
      <c r="G4570" t="str">
        <f>"00139806"</f>
        <v>00139806</v>
      </c>
      <c r="H4570">
        <v>638</v>
      </c>
      <c r="I4570">
        <v>0</v>
      </c>
      <c r="J4570">
        <v>0</v>
      </c>
      <c r="K4570">
        <v>0</v>
      </c>
      <c r="L4570">
        <v>0</v>
      </c>
      <c r="M4570">
        <v>0</v>
      </c>
      <c r="N4570">
        <v>0</v>
      </c>
      <c r="O4570">
        <v>0</v>
      </c>
      <c r="P4570">
        <v>0</v>
      </c>
      <c r="Q4570">
        <v>0</v>
      </c>
      <c r="R4570">
        <v>24</v>
      </c>
      <c r="S4570">
        <v>168</v>
      </c>
      <c r="T4570">
        <v>0</v>
      </c>
      <c r="V4570">
        <v>0</v>
      </c>
      <c r="W4570">
        <v>806</v>
      </c>
    </row>
    <row r="4571" spans="1:23" x14ac:dyDescent="0.25">
      <c r="H4571">
        <v>703</v>
      </c>
    </row>
    <row r="4572" spans="1:23" x14ac:dyDescent="0.25">
      <c r="A4572">
        <v>2283</v>
      </c>
      <c r="B4572">
        <v>2976</v>
      </c>
      <c r="C4572" t="s">
        <v>6130</v>
      </c>
      <c r="D4572" t="s">
        <v>46</v>
      </c>
      <c r="E4572" t="s">
        <v>105</v>
      </c>
      <c r="F4572" t="s">
        <v>6131</v>
      </c>
      <c r="G4572" t="str">
        <f>"201406014975"</f>
        <v>201406014975</v>
      </c>
      <c r="H4572" t="s">
        <v>2811</v>
      </c>
      <c r="I4572">
        <v>0</v>
      </c>
      <c r="J4572">
        <v>30</v>
      </c>
      <c r="K4572">
        <v>0</v>
      </c>
      <c r="L4572">
        <v>0</v>
      </c>
      <c r="M4572">
        <v>0</v>
      </c>
      <c r="N4572">
        <v>0</v>
      </c>
      <c r="O4572">
        <v>0</v>
      </c>
      <c r="P4572">
        <v>0</v>
      </c>
      <c r="Q4572">
        <v>0</v>
      </c>
      <c r="R4572">
        <v>0</v>
      </c>
      <c r="S4572">
        <v>0</v>
      </c>
      <c r="T4572">
        <v>0</v>
      </c>
      <c r="V4572">
        <v>3</v>
      </c>
      <c r="W4572" t="s">
        <v>6132</v>
      </c>
    </row>
    <row r="4573" spans="1:23" x14ac:dyDescent="0.25">
      <c r="H4573" t="s">
        <v>70</v>
      </c>
    </row>
    <row r="4574" spans="1:23" x14ac:dyDescent="0.25">
      <c r="A4574">
        <v>2284</v>
      </c>
      <c r="B4574">
        <v>272</v>
      </c>
      <c r="C4574" t="s">
        <v>6133</v>
      </c>
      <c r="D4574" t="s">
        <v>40</v>
      </c>
      <c r="E4574" t="s">
        <v>58</v>
      </c>
      <c r="F4574" t="s">
        <v>6134</v>
      </c>
      <c r="G4574" t="str">
        <f>"00224488"</f>
        <v>00224488</v>
      </c>
      <c r="H4574" t="s">
        <v>2811</v>
      </c>
      <c r="I4574">
        <v>0</v>
      </c>
      <c r="J4574">
        <v>30</v>
      </c>
      <c r="K4574">
        <v>0</v>
      </c>
      <c r="L4574">
        <v>0</v>
      </c>
      <c r="M4574">
        <v>0</v>
      </c>
      <c r="N4574">
        <v>0</v>
      </c>
      <c r="O4574">
        <v>0</v>
      </c>
      <c r="P4574">
        <v>0</v>
      </c>
      <c r="Q4574">
        <v>0</v>
      </c>
      <c r="R4574">
        <v>0</v>
      </c>
      <c r="S4574">
        <v>0</v>
      </c>
      <c r="T4574">
        <v>0</v>
      </c>
      <c r="V4574">
        <v>2</v>
      </c>
      <c r="W4574" t="s">
        <v>6132</v>
      </c>
    </row>
    <row r="4575" spans="1:23" x14ac:dyDescent="0.25">
      <c r="H4575">
        <v>703</v>
      </c>
    </row>
    <row r="4576" spans="1:23" x14ac:dyDescent="0.25">
      <c r="A4576">
        <v>2285</v>
      </c>
      <c r="B4576">
        <v>456</v>
      </c>
      <c r="C4576" t="s">
        <v>6135</v>
      </c>
      <c r="D4576" t="s">
        <v>6136</v>
      </c>
      <c r="E4576" t="s">
        <v>109</v>
      </c>
      <c r="F4576" t="s">
        <v>6137</v>
      </c>
      <c r="G4576" t="str">
        <f>"00153552"</f>
        <v>00153552</v>
      </c>
      <c r="H4576" t="s">
        <v>2811</v>
      </c>
      <c r="I4576">
        <v>0</v>
      </c>
      <c r="J4576">
        <v>30</v>
      </c>
      <c r="K4576">
        <v>0</v>
      </c>
      <c r="L4576">
        <v>0</v>
      </c>
      <c r="M4576">
        <v>0</v>
      </c>
      <c r="N4576">
        <v>0</v>
      </c>
      <c r="O4576">
        <v>0</v>
      </c>
      <c r="P4576">
        <v>0</v>
      </c>
      <c r="Q4576">
        <v>0</v>
      </c>
      <c r="R4576">
        <v>0</v>
      </c>
      <c r="S4576">
        <v>0</v>
      </c>
      <c r="T4576">
        <v>0</v>
      </c>
      <c r="V4576">
        <v>0</v>
      </c>
      <c r="W4576" t="s">
        <v>6132</v>
      </c>
    </row>
    <row r="4577" spans="1:23" x14ac:dyDescent="0.25">
      <c r="H4577">
        <v>703</v>
      </c>
    </row>
    <row r="4578" spans="1:23" x14ac:dyDescent="0.25">
      <c r="A4578">
        <v>2286</v>
      </c>
      <c r="B4578">
        <v>891</v>
      </c>
      <c r="C4578" t="s">
        <v>6138</v>
      </c>
      <c r="D4578" t="s">
        <v>41</v>
      </c>
      <c r="E4578" t="s">
        <v>53</v>
      </c>
      <c r="F4578" t="s">
        <v>6139</v>
      </c>
      <c r="G4578" t="str">
        <f>"201511004669"</f>
        <v>201511004669</v>
      </c>
      <c r="H4578" t="s">
        <v>2569</v>
      </c>
      <c r="I4578">
        <v>0</v>
      </c>
      <c r="J4578">
        <v>0</v>
      </c>
      <c r="K4578">
        <v>0</v>
      </c>
      <c r="L4578">
        <v>0</v>
      </c>
      <c r="M4578">
        <v>0</v>
      </c>
      <c r="N4578">
        <v>0</v>
      </c>
      <c r="O4578">
        <v>0</v>
      </c>
      <c r="P4578">
        <v>0</v>
      </c>
      <c r="Q4578">
        <v>0</v>
      </c>
      <c r="R4578">
        <v>0</v>
      </c>
      <c r="S4578">
        <v>0</v>
      </c>
      <c r="T4578">
        <v>0</v>
      </c>
      <c r="V4578">
        <v>0</v>
      </c>
      <c r="W4578" t="s">
        <v>2569</v>
      </c>
    </row>
    <row r="4579" spans="1:23" x14ac:dyDescent="0.25">
      <c r="H4579">
        <v>703</v>
      </c>
    </row>
    <row r="4580" spans="1:23" x14ac:dyDescent="0.25">
      <c r="A4580">
        <v>2287</v>
      </c>
      <c r="B4580">
        <v>2009</v>
      </c>
      <c r="C4580" t="s">
        <v>6140</v>
      </c>
      <c r="D4580" t="s">
        <v>28</v>
      </c>
      <c r="E4580" t="s">
        <v>1813</v>
      </c>
      <c r="F4580" t="s">
        <v>6141</v>
      </c>
      <c r="G4580" t="str">
        <f>"00229509"</f>
        <v>00229509</v>
      </c>
      <c r="H4580" t="s">
        <v>2569</v>
      </c>
      <c r="I4580">
        <v>0</v>
      </c>
      <c r="J4580">
        <v>0</v>
      </c>
      <c r="K4580">
        <v>0</v>
      </c>
      <c r="L4580">
        <v>0</v>
      </c>
      <c r="M4580">
        <v>0</v>
      </c>
      <c r="N4580">
        <v>0</v>
      </c>
      <c r="O4580">
        <v>0</v>
      </c>
      <c r="P4580">
        <v>0</v>
      </c>
      <c r="Q4580">
        <v>0</v>
      </c>
      <c r="R4580">
        <v>0</v>
      </c>
      <c r="S4580">
        <v>0</v>
      </c>
      <c r="T4580">
        <v>0</v>
      </c>
      <c r="V4580">
        <v>3</v>
      </c>
      <c r="W4580" t="s">
        <v>2569</v>
      </c>
    </row>
    <row r="4581" spans="1:23" x14ac:dyDescent="0.25">
      <c r="H4581">
        <v>703</v>
      </c>
    </row>
    <row r="4582" spans="1:23" x14ac:dyDescent="0.25">
      <c r="A4582">
        <v>2288</v>
      </c>
      <c r="B4582">
        <v>720</v>
      </c>
      <c r="C4582" t="s">
        <v>6142</v>
      </c>
      <c r="D4582" t="s">
        <v>273</v>
      </c>
      <c r="E4582" t="s">
        <v>109</v>
      </c>
      <c r="F4582" t="s">
        <v>6143</v>
      </c>
      <c r="G4582" t="str">
        <f>"00225960"</f>
        <v>00225960</v>
      </c>
      <c r="H4582">
        <v>803</v>
      </c>
      <c r="I4582">
        <v>0</v>
      </c>
      <c r="J4582">
        <v>0</v>
      </c>
      <c r="K4582">
        <v>0</v>
      </c>
      <c r="L4582">
        <v>0</v>
      </c>
      <c r="M4582">
        <v>0</v>
      </c>
      <c r="N4582">
        <v>0</v>
      </c>
      <c r="O4582">
        <v>0</v>
      </c>
      <c r="P4582">
        <v>0</v>
      </c>
      <c r="Q4582">
        <v>0</v>
      </c>
      <c r="R4582">
        <v>0</v>
      </c>
      <c r="S4582">
        <v>0</v>
      </c>
      <c r="T4582">
        <v>0</v>
      </c>
      <c r="V4582">
        <v>0</v>
      </c>
      <c r="W4582">
        <v>803</v>
      </c>
    </row>
    <row r="4583" spans="1:23" x14ac:dyDescent="0.25">
      <c r="H4583" t="s">
        <v>2988</v>
      </c>
    </row>
    <row r="4584" spans="1:23" x14ac:dyDescent="0.25">
      <c r="A4584">
        <v>2289</v>
      </c>
      <c r="B4584">
        <v>1417</v>
      </c>
      <c r="C4584" t="s">
        <v>6144</v>
      </c>
      <c r="D4584" t="s">
        <v>392</v>
      </c>
      <c r="E4584" t="s">
        <v>105</v>
      </c>
      <c r="F4584" t="s">
        <v>6145</v>
      </c>
      <c r="G4584" t="str">
        <f>"00224588"</f>
        <v>00224588</v>
      </c>
      <c r="H4584" t="s">
        <v>2419</v>
      </c>
      <c r="I4584">
        <v>0</v>
      </c>
      <c r="J4584">
        <v>30</v>
      </c>
      <c r="K4584">
        <v>30</v>
      </c>
      <c r="L4584">
        <v>0</v>
      </c>
      <c r="M4584">
        <v>0</v>
      </c>
      <c r="N4584">
        <v>0</v>
      </c>
      <c r="O4584">
        <v>0</v>
      </c>
      <c r="P4584">
        <v>0</v>
      </c>
      <c r="Q4584">
        <v>0</v>
      </c>
      <c r="R4584">
        <v>0</v>
      </c>
      <c r="S4584">
        <v>0</v>
      </c>
      <c r="T4584">
        <v>0</v>
      </c>
      <c r="V4584">
        <v>0</v>
      </c>
      <c r="W4584" t="s">
        <v>6146</v>
      </c>
    </row>
    <row r="4585" spans="1:23" x14ac:dyDescent="0.25">
      <c r="H4585" t="s">
        <v>26</v>
      </c>
    </row>
    <row r="4586" spans="1:23" x14ac:dyDescent="0.25">
      <c r="A4586">
        <v>2290</v>
      </c>
      <c r="B4586">
        <v>1185</v>
      </c>
      <c r="C4586" t="s">
        <v>6147</v>
      </c>
      <c r="D4586" t="s">
        <v>6148</v>
      </c>
      <c r="E4586" t="s">
        <v>6149</v>
      </c>
      <c r="F4586" t="s">
        <v>6150</v>
      </c>
      <c r="G4586" t="str">
        <f>"00075479"</f>
        <v>00075479</v>
      </c>
      <c r="H4586" t="s">
        <v>2937</v>
      </c>
      <c r="I4586">
        <v>0</v>
      </c>
      <c r="J4586">
        <v>50</v>
      </c>
      <c r="K4586">
        <v>0</v>
      </c>
      <c r="L4586">
        <v>30</v>
      </c>
      <c r="M4586">
        <v>0</v>
      </c>
      <c r="N4586">
        <v>0</v>
      </c>
      <c r="O4586">
        <v>0</v>
      </c>
      <c r="P4586">
        <v>0</v>
      </c>
      <c r="Q4586">
        <v>0</v>
      </c>
      <c r="R4586">
        <v>5</v>
      </c>
      <c r="S4586">
        <v>35</v>
      </c>
      <c r="T4586">
        <v>0</v>
      </c>
      <c r="V4586">
        <v>0</v>
      </c>
      <c r="W4586" t="s">
        <v>6146</v>
      </c>
    </row>
    <row r="4587" spans="1:23" x14ac:dyDescent="0.25">
      <c r="H4587">
        <v>703</v>
      </c>
    </row>
    <row r="4588" spans="1:23" x14ac:dyDescent="0.25">
      <c r="A4588">
        <v>2291</v>
      </c>
      <c r="B4588">
        <v>2405</v>
      </c>
      <c r="C4588" t="s">
        <v>5124</v>
      </c>
      <c r="D4588" t="s">
        <v>140</v>
      </c>
      <c r="E4588" t="s">
        <v>322</v>
      </c>
      <c r="F4588" t="s">
        <v>6151</v>
      </c>
      <c r="G4588" t="str">
        <f>"201402009933"</f>
        <v>201402009933</v>
      </c>
      <c r="H4588" t="s">
        <v>6152</v>
      </c>
      <c r="I4588">
        <v>0</v>
      </c>
      <c r="J4588">
        <v>50</v>
      </c>
      <c r="K4588">
        <v>0</v>
      </c>
      <c r="L4588">
        <v>0</v>
      </c>
      <c r="M4588">
        <v>0</v>
      </c>
      <c r="N4588">
        <v>0</v>
      </c>
      <c r="O4588">
        <v>0</v>
      </c>
      <c r="P4588">
        <v>0</v>
      </c>
      <c r="Q4588">
        <v>0</v>
      </c>
      <c r="R4588">
        <v>0</v>
      </c>
      <c r="S4588">
        <v>0</v>
      </c>
      <c r="T4588">
        <v>0</v>
      </c>
      <c r="V4588">
        <v>0</v>
      </c>
      <c r="W4588" t="s">
        <v>6153</v>
      </c>
    </row>
    <row r="4589" spans="1:23" x14ac:dyDescent="0.25">
      <c r="H4589" t="s">
        <v>70</v>
      </c>
    </row>
    <row r="4590" spans="1:23" x14ac:dyDescent="0.25">
      <c r="A4590">
        <v>2292</v>
      </c>
      <c r="B4590">
        <v>887</v>
      </c>
      <c r="C4590" t="s">
        <v>6154</v>
      </c>
      <c r="D4590" t="s">
        <v>6155</v>
      </c>
      <c r="E4590" t="s">
        <v>91</v>
      </c>
      <c r="F4590" t="s">
        <v>6156</v>
      </c>
      <c r="G4590" t="str">
        <f>"201507001508"</f>
        <v>201507001508</v>
      </c>
      <c r="H4590">
        <v>770</v>
      </c>
      <c r="I4590">
        <v>0</v>
      </c>
      <c r="J4590">
        <v>30</v>
      </c>
      <c r="K4590">
        <v>0</v>
      </c>
      <c r="L4590">
        <v>0</v>
      </c>
      <c r="M4590">
        <v>0</v>
      </c>
      <c r="N4590">
        <v>0</v>
      </c>
      <c r="O4590">
        <v>0</v>
      </c>
      <c r="P4590">
        <v>0</v>
      </c>
      <c r="Q4590">
        <v>0</v>
      </c>
      <c r="R4590">
        <v>0</v>
      </c>
      <c r="S4590">
        <v>0</v>
      </c>
      <c r="T4590">
        <v>0</v>
      </c>
      <c r="V4590">
        <v>0</v>
      </c>
      <c r="W4590">
        <v>800</v>
      </c>
    </row>
    <row r="4591" spans="1:23" x14ac:dyDescent="0.25">
      <c r="H4591" t="s">
        <v>70</v>
      </c>
    </row>
    <row r="4592" spans="1:23" x14ac:dyDescent="0.25">
      <c r="A4592">
        <v>2293</v>
      </c>
      <c r="B4592">
        <v>1239</v>
      </c>
      <c r="C4592" t="s">
        <v>6157</v>
      </c>
      <c r="D4592" t="s">
        <v>752</v>
      </c>
      <c r="E4592" t="s">
        <v>15</v>
      </c>
      <c r="F4592" t="s">
        <v>6158</v>
      </c>
      <c r="G4592" t="str">
        <f>"201502001585"</f>
        <v>201502001585</v>
      </c>
      <c r="H4592">
        <v>770</v>
      </c>
      <c r="I4592">
        <v>0</v>
      </c>
      <c r="J4592">
        <v>30</v>
      </c>
      <c r="K4592">
        <v>0</v>
      </c>
      <c r="L4592">
        <v>0</v>
      </c>
      <c r="M4592">
        <v>0</v>
      </c>
      <c r="N4592">
        <v>0</v>
      </c>
      <c r="O4592">
        <v>0</v>
      </c>
      <c r="P4592">
        <v>0</v>
      </c>
      <c r="Q4592">
        <v>0</v>
      </c>
      <c r="R4592">
        <v>0</v>
      </c>
      <c r="S4592">
        <v>0</v>
      </c>
      <c r="T4592">
        <v>0</v>
      </c>
      <c r="V4592">
        <v>0</v>
      </c>
      <c r="W4592">
        <v>800</v>
      </c>
    </row>
    <row r="4593" spans="1:23" x14ac:dyDescent="0.25">
      <c r="H4593">
        <v>703</v>
      </c>
    </row>
    <row r="4594" spans="1:23" x14ac:dyDescent="0.25">
      <c r="A4594">
        <v>2294</v>
      </c>
      <c r="B4594">
        <v>1986</v>
      </c>
      <c r="C4594" t="s">
        <v>6159</v>
      </c>
      <c r="D4594" t="s">
        <v>2336</v>
      </c>
      <c r="E4594" t="s">
        <v>76</v>
      </c>
      <c r="F4594" t="s">
        <v>6160</v>
      </c>
      <c r="G4594" t="str">
        <f>"201510001694"</f>
        <v>201510001694</v>
      </c>
      <c r="H4594" t="s">
        <v>2785</v>
      </c>
      <c r="I4594">
        <v>0</v>
      </c>
      <c r="J4594">
        <v>0</v>
      </c>
      <c r="K4594">
        <v>0</v>
      </c>
      <c r="L4594">
        <v>0</v>
      </c>
      <c r="M4594">
        <v>0</v>
      </c>
      <c r="N4594">
        <v>0</v>
      </c>
      <c r="O4594">
        <v>0</v>
      </c>
      <c r="P4594">
        <v>0</v>
      </c>
      <c r="Q4594">
        <v>0</v>
      </c>
      <c r="R4594">
        <v>0</v>
      </c>
      <c r="S4594">
        <v>0</v>
      </c>
      <c r="T4594">
        <v>0</v>
      </c>
      <c r="V4594">
        <v>0</v>
      </c>
      <c r="W4594" t="s">
        <v>2785</v>
      </c>
    </row>
    <row r="4595" spans="1:23" x14ac:dyDescent="0.25">
      <c r="H4595">
        <v>703</v>
      </c>
    </row>
    <row r="4596" spans="1:23" x14ac:dyDescent="0.25">
      <c r="A4596">
        <v>2295</v>
      </c>
      <c r="B4596">
        <v>570</v>
      </c>
      <c r="C4596" t="s">
        <v>3666</v>
      </c>
      <c r="D4596" t="s">
        <v>6161</v>
      </c>
      <c r="E4596" t="s">
        <v>6162</v>
      </c>
      <c r="F4596" t="s">
        <v>6163</v>
      </c>
      <c r="G4596" t="str">
        <f>"00027983"</f>
        <v>00027983</v>
      </c>
      <c r="H4596">
        <v>649</v>
      </c>
      <c r="I4596">
        <v>150</v>
      </c>
      <c r="J4596">
        <v>0</v>
      </c>
      <c r="K4596">
        <v>0</v>
      </c>
      <c r="L4596">
        <v>0</v>
      </c>
      <c r="M4596">
        <v>0</v>
      </c>
      <c r="N4596">
        <v>0</v>
      </c>
      <c r="O4596">
        <v>0</v>
      </c>
      <c r="P4596">
        <v>0</v>
      </c>
      <c r="Q4596">
        <v>0</v>
      </c>
      <c r="R4596">
        <v>0</v>
      </c>
      <c r="S4596">
        <v>0</v>
      </c>
      <c r="T4596">
        <v>0</v>
      </c>
      <c r="V4596">
        <v>0</v>
      </c>
      <c r="W4596">
        <v>799</v>
      </c>
    </row>
    <row r="4597" spans="1:23" x14ac:dyDescent="0.25">
      <c r="H4597">
        <v>703</v>
      </c>
    </row>
    <row r="4598" spans="1:23" x14ac:dyDescent="0.25">
      <c r="A4598">
        <v>2296</v>
      </c>
      <c r="B4598">
        <v>1818</v>
      </c>
      <c r="C4598" t="s">
        <v>6164</v>
      </c>
      <c r="D4598" t="s">
        <v>53</v>
      </c>
      <c r="E4598" t="s">
        <v>76</v>
      </c>
      <c r="F4598" t="s">
        <v>6165</v>
      </c>
      <c r="G4598" t="str">
        <f>"00084753"</f>
        <v>00084753</v>
      </c>
      <c r="H4598" t="s">
        <v>5186</v>
      </c>
      <c r="I4598">
        <v>0</v>
      </c>
      <c r="J4598">
        <v>50</v>
      </c>
      <c r="K4598">
        <v>0</v>
      </c>
      <c r="L4598">
        <v>0</v>
      </c>
      <c r="M4598">
        <v>0</v>
      </c>
      <c r="N4598">
        <v>0</v>
      </c>
      <c r="O4598">
        <v>0</v>
      </c>
      <c r="P4598">
        <v>0</v>
      </c>
      <c r="Q4598">
        <v>0</v>
      </c>
      <c r="R4598">
        <v>0</v>
      </c>
      <c r="S4598">
        <v>0</v>
      </c>
      <c r="T4598">
        <v>0</v>
      </c>
      <c r="V4598">
        <v>0</v>
      </c>
      <c r="W4598" t="s">
        <v>6166</v>
      </c>
    </row>
    <row r="4599" spans="1:23" x14ac:dyDescent="0.25">
      <c r="H4599">
        <v>703</v>
      </c>
    </row>
    <row r="4600" spans="1:23" x14ac:dyDescent="0.25">
      <c r="A4600">
        <v>2297</v>
      </c>
      <c r="B4600">
        <v>1595</v>
      </c>
      <c r="C4600" t="s">
        <v>3004</v>
      </c>
      <c r="D4600" t="s">
        <v>432</v>
      </c>
      <c r="E4600" t="s">
        <v>58</v>
      </c>
      <c r="F4600" t="s">
        <v>6167</v>
      </c>
      <c r="G4600" t="str">
        <f>"00203229"</f>
        <v>00203229</v>
      </c>
      <c r="H4600" t="s">
        <v>3523</v>
      </c>
      <c r="I4600">
        <v>0</v>
      </c>
      <c r="J4600">
        <v>0</v>
      </c>
      <c r="K4600">
        <v>0</v>
      </c>
      <c r="L4600">
        <v>0</v>
      </c>
      <c r="M4600">
        <v>0</v>
      </c>
      <c r="N4600">
        <v>0</v>
      </c>
      <c r="O4600">
        <v>0</v>
      </c>
      <c r="P4600">
        <v>0</v>
      </c>
      <c r="Q4600">
        <v>0</v>
      </c>
      <c r="R4600">
        <v>0</v>
      </c>
      <c r="S4600">
        <v>0</v>
      </c>
      <c r="T4600">
        <v>0</v>
      </c>
      <c r="V4600">
        <v>2</v>
      </c>
      <c r="W4600" t="s">
        <v>3523</v>
      </c>
    </row>
    <row r="4601" spans="1:23" x14ac:dyDescent="0.25">
      <c r="H4601">
        <v>703</v>
      </c>
    </row>
    <row r="4602" spans="1:23" x14ac:dyDescent="0.25">
      <c r="A4602">
        <v>2298</v>
      </c>
      <c r="B4602">
        <v>2920</v>
      </c>
      <c r="C4602" t="s">
        <v>6168</v>
      </c>
      <c r="D4602" t="s">
        <v>501</v>
      </c>
      <c r="E4602" t="s">
        <v>607</v>
      </c>
      <c r="F4602" t="s">
        <v>6169</v>
      </c>
      <c r="G4602" t="str">
        <f>"00188436"</f>
        <v>00188436</v>
      </c>
      <c r="H4602" t="s">
        <v>4833</v>
      </c>
      <c r="I4602">
        <v>0</v>
      </c>
      <c r="J4602">
        <v>0</v>
      </c>
      <c r="K4602">
        <v>0</v>
      </c>
      <c r="L4602">
        <v>0</v>
      </c>
      <c r="M4602">
        <v>0</v>
      </c>
      <c r="N4602">
        <v>0</v>
      </c>
      <c r="O4602">
        <v>0</v>
      </c>
      <c r="P4602">
        <v>0</v>
      </c>
      <c r="Q4602">
        <v>0</v>
      </c>
      <c r="R4602">
        <v>13</v>
      </c>
      <c r="S4602">
        <v>91</v>
      </c>
      <c r="T4602">
        <v>0</v>
      </c>
      <c r="V4602">
        <v>0</v>
      </c>
      <c r="W4602" t="s">
        <v>6170</v>
      </c>
    </row>
    <row r="4603" spans="1:23" x14ac:dyDescent="0.25">
      <c r="H4603">
        <v>703</v>
      </c>
    </row>
    <row r="4604" spans="1:23" x14ac:dyDescent="0.25">
      <c r="A4604">
        <v>2299</v>
      </c>
      <c r="B4604">
        <v>1957</v>
      </c>
      <c r="C4604" t="s">
        <v>6171</v>
      </c>
      <c r="D4604" t="s">
        <v>135</v>
      </c>
      <c r="E4604" t="s">
        <v>99</v>
      </c>
      <c r="F4604" t="s">
        <v>6172</v>
      </c>
      <c r="G4604" t="str">
        <f>"201406000878"</f>
        <v>201406000878</v>
      </c>
      <c r="H4604">
        <v>715</v>
      </c>
      <c r="I4604">
        <v>0</v>
      </c>
      <c r="J4604">
        <v>70</v>
      </c>
      <c r="K4604">
        <v>0</v>
      </c>
      <c r="L4604">
        <v>0</v>
      </c>
      <c r="M4604">
        <v>0</v>
      </c>
      <c r="N4604">
        <v>0</v>
      </c>
      <c r="O4604">
        <v>0</v>
      </c>
      <c r="P4604">
        <v>0</v>
      </c>
      <c r="Q4604">
        <v>0</v>
      </c>
      <c r="R4604">
        <v>0</v>
      </c>
      <c r="S4604">
        <v>0</v>
      </c>
      <c r="T4604">
        <v>0</v>
      </c>
      <c r="V4604">
        <v>0</v>
      </c>
      <c r="W4604">
        <v>785</v>
      </c>
    </row>
    <row r="4605" spans="1:23" x14ac:dyDescent="0.25">
      <c r="H4605">
        <v>703</v>
      </c>
    </row>
    <row r="4606" spans="1:23" x14ac:dyDescent="0.25">
      <c r="A4606">
        <v>2300</v>
      </c>
      <c r="B4606">
        <v>568</v>
      </c>
      <c r="C4606" t="s">
        <v>6173</v>
      </c>
      <c r="D4606" t="s">
        <v>1818</v>
      </c>
      <c r="E4606" t="s">
        <v>91</v>
      </c>
      <c r="F4606" t="s">
        <v>6174</v>
      </c>
      <c r="G4606" t="str">
        <f>"201604000346"</f>
        <v>201604000346</v>
      </c>
      <c r="H4606">
        <v>715</v>
      </c>
      <c r="I4606">
        <v>0</v>
      </c>
      <c r="J4606">
        <v>70</v>
      </c>
      <c r="K4606">
        <v>0</v>
      </c>
      <c r="L4606">
        <v>0</v>
      </c>
      <c r="M4606">
        <v>0</v>
      </c>
      <c r="N4606">
        <v>0</v>
      </c>
      <c r="O4606">
        <v>0</v>
      </c>
      <c r="P4606">
        <v>0</v>
      </c>
      <c r="Q4606">
        <v>0</v>
      </c>
      <c r="R4606">
        <v>0</v>
      </c>
      <c r="S4606">
        <v>0</v>
      </c>
      <c r="T4606">
        <v>0</v>
      </c>
      <c r="V4606">
        <v>0</v>
      </c>
      <c r="W4606">
        <v>785</v>
      </c>
    </row>
    <row r="4607" spans="1:23" x14ac:dyDescent="0.25">
      <c r="H4607">
        <v>703</v>
      </c>
    </row>
    <row r="4608" spans="1:23" x14ac:dyDescent="0.25">
      <c r="A4608">
        <v>2301</v>
      </c>
      <c r="B4608">
        <v>331</v>
      </c>
      <c r="C4608" t="s">
        <v>6175</v>
      </c>
      <c r="D4608" t="s">
        <v>40</v>
      </c>
      <c r="E4608" t="s">
        <v>424</v>
      </c>
      <c r="F4608" t="s">
        <v>6176</v>
      </c>
      <c r="G4608" t="str">
        <f>"00224401"</f>
        <v>00224401</v>
      </c>
      <c r="H4608" t="s">
        <v>3167</v>
      </c>
      <c r="I4608">
        <v>0</v>
      </c>
      <c r="J4608">
        <v>30</v>
      </c>
      <c r="K4608">
        <v>0</v>
      </c>
      <c r="L4608">
        <v>0</v>
      </c>
      <c r="M4608">
        <v>0</v>
      </c>
      <c r="N4608">
        <v>0</v>
      </c>
      <c r="O4608">
        <v>0</v>
      </c>
      <c r="P4608">
        <v>0</v>
      </c>
      <c r="Q4608">
        <v>0</v>
      </c>
      <c r="R4608">
        <v>0</v>
      </c>
      <c r="S4608">
        <v>0</v>
      </c>
      <c r="T4608">
        <v>0</v>
      </c>
      <c r="V4608">
        <v>2</v>
      </c>
      <c r="W4608" t="s">
        <v>6177</v>
      </c>
    </row>
    <row r="4609" spans="1:23" x14ac:dyDescent="0.25">
      <c r="H4609" t="s">
        <v>26</v>
      </c>
    </row>
    <row r="4610" spans="1:23" x14ac:dyDescent="0.25">
      <c r="A4610">
        <v>2302</v>
      </c>
      <c r="B4610">
        <v>2647</v>
      </c>
      <c r="C4610" t="s">
        <v>6178</v>
      </c>
      <c r="D4610" t="s">
        <v>1760</v>
      </c>
      <c r="E4610" t="s">
        <v>41</v>
      </c>
      <c r="F4610" t="s">
        <v>6179</v>
      </c>
      <c r="G4610" t="str">
        <f>"00125897"</f>
        <v>00125897</v>
      </c>
      <c r="H4610" t="s">
        <v>3167</v>
      </c>
      <c r="I4610">
        <v>0</v>
      </c>
      <c r="J4610">
        <v>30</v>
      </c>
      <c r="K4610">
        <v>0</v>
      </c>
      <c r="L4610">
        <v>0</v>
      </c>
      <c r="M4610">
        <v>0</v>
      </c>
      <c r="N4610">
        <v>0</v>
      </c>
      <c r="O4610">
        <v>0</v>
      </c>
      <c r="P4610">
        <v>0</v>
      </c>
      <c r="Q4610">
        <v>0</v>
      </c>
      <c r="R4610">
        <v>0</v>
      </c>
      <c r="S4610">
        <v>0</v>
      </c>
      <c r="T4610">
        <v>0</v>
      </c>
      <c r="V4610">
        <v>0</v>
      </c>
      <c r="W4610" t="s">
        <v>6177</v>
      </c>
    </row>
    <row r="4611" spans="1:23" x14ac:dyDescent="0.25">
      <c r="H4611">
        <v>703</v>
      </c>
    </row>
    <row r="4612" spans="1:23" x14ac:dyDescent="0.25">
      <c r="A4612">
        <v>2303</v>
      </c>
      <c r="B4612">
        <v>2255</v>
      </c>
      <c r="C4612" t="s">
        <v>6180</v>
      </c>
      <c r="D4612" t="s">
        <v>356</v>
      </c>
      <c r="E4612" t="s">
        <v>15</v>
      </c>
      <c r="F4612" t="s">
        <v>6181</v>
      </c>
      <c r="G4612" t="str">
        <f>"201510000279"</f>
        <v>201510000279</v>
      </c>
      <c r="H4612" t="s">
        <v>2191</v>
      </c>
      <c r="I4612">
        <v>0</v>
      </c>
      <c r="J4612">
        <v>30</v>
      </c>
      <c r="K4612">
        <v>0</v>
      </c>
      <c r="L4612">
        <v>0</v>
      </c>
      <c r="M4612">
        <v>0</v>
      </c>
      <c r="N4612">
        <v>0</v>
      </c>
      <c r="O4612">
        <v>0</v>
      </c>
      <c r="P4612">
        <v>0</v>
      </c>
      <c r="Q4612">
        <v>0</v>
      </c>
      <c r="R4612">
        <v>0</v>
      </c>
      <c r="S4612">
        <v>0</v>
      </c>
      <c r="T4612">
        <v>0</v>
      </c>
      <c r="V4612">
        <v>1</v>
      </c>
      <c r="W4612" t="s">
        <v>6182</v>
      </c>
    </row>
    <row r="4613" spans="1:23" x14ac:dyDescent="0.25">
      <c r="H4613">
        <v>703</v>
      </c>
    </row>
    <row r="4614" spans="1:23" x14ac:dyDescent="0.25">
      <c r="A4614">
        <v>2304</v>
      </c>
      <c r="B4614">
        <v>1320</v>
      </c>
      <c r="C4614" t="s">
        <v>6183</v>
      </c>
      <c r="D4614" t="s">
        <v>6184</v>
      </c>
      <c r="E4614" t="s">
        <v>6185</v>
      </c>
      <c r="F4614" t="s">
        <v>6186</v>
      </c>
      <c r="G4614" t="str">
        <f>"00224243"</f>
        <v>00224243</v>
      </c>
      <c r="H4614">
        <v>660</v>
      </c>
      <c r="I4614">
        <v>0</v>
      </c>
      <c r="J4614">
        <v>70</v>
      </c>
      <c r="K4614">
        <v>0</v>
      </c>
      <c r="L4614">
        <v>0</v>
      </c>
      <c r="M4614">
        <v>0</v>
      </c>
      <c r="N4614">
        <v>0</v>
      </c>
      <c r="O4614">
        <v>0</v>
      </c>
      <c r="P4614">
        <v>50</v>
      </c>
      <c r="Q4614">
        <v>0</v>
      </c>
      <c r="R4614">
        <v>0</v>
      </c>
      <c r="S4614">
        <v>0</v>
      </c>
      <c r="T4614">
        <v>0</v>
      </c>
      <c r="V4614">
        <v>0</v>
      </c>
      <c r="W4614">
        <v>780</v>
      </c>
    </row>
    <row r="4615" spans="1:23" x14ac:dyDescent="0.25">
      <c r="H4615">
        <v>703</v>
      </c>
    </row>
    <row r="4616" spans="1:23" x14ac:dyDescent="0.25">
      <c r="A4616">
        <v>2305</v>
      </c>
      <c r="B4616">
        <v>2502</v>
      </c>
      <c r="C4616" t="s">
        <v>4310</v>
      </c>
      <c r="D4616" t="s">
        <v>46</v>
      </c>
      <c r="E4616" t="s">
        <v>1147</v>
      </c>
      <c r="F4616" t="s">
        <v>6187</v>
      </c>
      <c r="G4616" t="str">
        <f>"201402001983"</f>
        <v>201402001983</v>
      </c>
      <c r="H4616">
        <v>748</v>
      </c>
      <c r="I4616">
        <v>0</v>
      </c>
      <c r="J4616">
        <v>30</v>
      </c>
      <c r="K4616">
        <v>0</v>
      </c>
      <c r="L4616">
        <v>0</v>
      </c>
      <c r="M4616">
        <v>0</v>
      </c>
      <c r="N4616">
        <v>0</v>
      </c>
      <c r="O4616">
        <v>0</v>
      </c>
      <c r="P4616">
        <v>0</v>
      </c>
      <c r="Q4616">
        <v>0</v>
      </c>
      <c r="R4616">
        <v>0</v>
      </c>
      <c r="S4616">
        <v>0</v>
      </c>
      <c r="T4616">
        <v>0</v>
      </c>
      <c r="V4616">
        <v>0</v>
      </c>
      <c r="W4616">
        <v>778</v>
      </c>
    </row>
    <row r="4617" spans="1:23" x14ac:dyDescent="0.25">
      <c r="H4617">
        <v>703</v>
      </c>
    </row>
    <row r="4618" spans="1:23" x14ac:dyDescent="0.25">
      <c r="A4618">
        <v>2306</v>
      </c>
      <c r="B4618">
        <v>2156</v>
      </c>
      <c r="C4618" t="s">
        <v>6055</v>
      </c>
      <c r="D4618" t="s">
        <v>3990</v>
      </c>
      <c r="E4618" t="s">
        <v>41</v>
      </c>
      <c r="F4618" t="s">
        <v>6188</v>
      </c>
      <c r="G4618" t="str">
        <f>"00006169"</f>
        <v>00006169</v>
      </c>
      <c r="H4618">
        <v>748</v>
      </c>
      <c r="I4618">
        <v>0</v>
      </c>
      <c r="J4618">
        <v>30</v>
      </c>
      <c r="K4618">
        <v>0</v>
      </c>
      <c r="L4618">
        <v>0</v>
      </c>
      <c r="M4618">
        <v>0</v>
      </c>
      <c r="N4618">
        <v>0</v>
      </c>
      <c r="O4618">
        <v>0</v>
      </c>
      <c r="P4618">
        <v>0</v>
      </c>
      <c r="Q4618">
        <v>0</v>
      </c>
      <c r="R4618">
        <v>0</v>
      </c>
      <c r="S4618">
        <v>0</v>
      </c>
      <c r="T4618">
        <v>0</v>
      </c>
      <c r="V4618">
        <v>0</v>
      </c>
      <c r="W4618">
        <v>778</v>
      </c>
    </row>
    <row r="4619" spans="1:23" x14ac:dyDescent="0.25">
      <c r="H4619" t="s">
        <v>70</v>
      </c>
    </row>
    <row r="4620" spans="1:23" x14ac:dyDescent="0.25">
      <c r="A4620">
        <v>2307</v>
      </c>
      <c r="B4620">
        <v>651</v>
      </c>
      <c r="C4620" t="s">
        <v>5886</v>
      </c>
      <c r="D4620" t="s">
        <v>76</v>
      </c>
      <c r="E4620" t="s">
        <v>5887</v>
      </c>
      <c r="F4620" t="s">
        <v>6189</v>
      </c>
      <c r="G4620" t="str">
        <f>"201409001182"</f>
        <v>201409001182</v>
      </c>
      <c r="H4620" t="s">
        <v>2811</v>
      </c>
      <c r="I4620">
        <v>0</v>
      </c>
      <c r="J4620">
        <v>0</v>
      </c>
      <c r="K4620">
        <v>0</v>
      </c>
      <c r="L4620">
        <v>0</v>
      </c>
      <c r="M4620">
        <v>0</v>
      </c>
      <c r="N4620">
        <v>0</v>
      </c>
      <c r="O4620">
        <v>0</v>
      </c>
      <c r="P4620">
        <v>0</v>
      </c>
      <c r="Q4620">
        <v>0</v>
      </c>
      <c r="R4620">
        <v>0</v>
      </c>
      <c r="S4620">
        <v>0</v>
      </c>
      <c r="T4620">
        <v>0</v>
      </c>
      <c r="V4620">
        <v>0</v>
      </c>
      <c r="W4620" t="s">
        <v>2811</v>
      </c>
    </row>
    <row r="4621" spans="1:23" x14ac:dyDescent="0.25">
      <c r="H4621">
        <v>703</v>
      </c>
    </row>
    <row r="4622" spans="1:23" x14ac:dyDescent="0.25">
      <c r="A4622">
        <v>2308</v>
      </c>
      <c r="B4622">
        <v>2387</v>
      </c>
      <c r="C4622" t="s">
        <v>4574</v>
      </c>
      <c r="D4622" t="s">
        <v>112</v>
      </c>
      <c r="E4622" t="s">
        <v>105</v>
      </c>
      <c r="F4622" t="s">
        <v>6190</v>
      </c>
      <c r="G4622" t="str">
        <f>"201406005354"</f>
        <v>201406005354</v>
      </c>
      <c r="H4622" t="s">
        <v>2191</v>
      </c>
      <c r="I4622">
        <v>0</v>
      </c>
      <c r="J4622">
        <v>0</v>
      </c>
      <c r="K4622">
        <v>0</v>
      </c>
      <c r="L4622">
        <v>0</v>
      </c>
      <c r="M4622">
        <v>0</v>
      </c>
      <c r="N4622">
        <v>0</v>
      </c>
      <c r="O4622">
        <v>0</v>
      </c>
      <c r="P4622">
        <v>0</v>
      </c>
      <c r="Q4622">
        <v>0</v>
      </c>
      <c r="R4622">
        <v>3</v>
      </c>
      <c r="S4622">
        <v>21</v>
      </c>
      <c r="T4622">
        <v>0</v>
      </c>
      <c r="V4622">
        <v>0</v>
      </c>
      <c r="W4622" t="s">
        <v>6191</v>
      </c>
    </row>
    <row r="4623" spans="1:23" x14ac:dyDescent="0.25">
      <c r="H4623">
        <v>703</v>
      </c>
    </row>
    <row r="4624" spans="1:23" x14ac:dyDescent="0.25">
      <c r="A4624">
        <v>2309</v>
      </c>
      <c r="B4624">
        <v>1936</v>
      </c>
      <c r="C4624" t="s">
        <v>4790</v>
      </c>
      <c r="D4624" t="s">
        <v>6192</v>
      </c>
      <c r="E4624" t="s">
        <v>109</v>
      </c>
      <c r="F4624" t="s">
        <v>6193</v>
      </c>
      <c r="G4624" t="str">
        <f>"201604005954"</f>
        <v>201604005954</v>
      </c>
      <c r="H4624">
        <v>737</v>
      </c>
      <c r="I4624">
        <v>0</v>
      </c>
      <c r="J4624">
        <v>30</v>
      </c>
      <c r="K4624">
        <v>0</v>
      </c>
      <c r="L4624">
        <v>0</v>
      </c>
      <c r="M4624">
        <v>0</v>
      </c>
      <c r="N4624">
        <v>0</v>
      </c>
      <c r="O4624">
        <v>0</v>
      </c>
      <c r="P4624">
        <v>0</v>
      </c>
      <c r="Q4624">
        <v>0</v>
      </c>
      <c r="R4624">
        <v>1</v>
      </c>
      <c r="S4624">
        <v>7</v>
      </c>
      <c r="T4624">
        <v>0</v>
      </c>
      <c r="V4624">
        <v>2</v>
      </c>
      <c r="W4624">
        <v>774</v>
      </c>
    </row>
    <row r="4625" spans="1:23" x14ac:dyDescent="0.25">
      <c r="H4625">
        <v>703</v>
      </c>
    </row>
    <row r="4626" spans="1:23" x14ac:dyDescent="0.25">
      <c r="A4626">
        <v>2310</v>
      </c>
      <c r="B4626">
        <v>647</v>
      </c>
      <c r="C4626" t="s">
        <v>6194</v>
      </c>
      <c r="D4626" t="s">
        <v>3111</v>
      </c>
      <c r="E4626" t="s">
        <v>53</v>
      </c>
      <c r="F4626" t="s">
        <v>6195</v>
      </c>
      <c r="G4626" t="str">
        <f>"201406001929"</f>
        <v>201406001929</v>
      </c>
      <c r="H4626" t="s">
        <v>2419</v>
      </c>
      <c r="I4626">
        <v>0</v>
      </c>
      <c r="J4626">
        <v>30</v>
      </c>
      <c r="K4626">
        <v>0</v>
      </c>
      <c r="L4626">
        <v>0</v>
      </c>
      <c r="M4626">
        <v>0</v>
      </c>
      <c r="N4626">
        <v>0</v>
      </c>
      <c r="O4626">
        <v>0</v>
      </c>
      <c r="P4626">
        <v>0</v>
      </c>
      <c r="Q4626">
        <v>0</v>
      </c>
      <c r="R4626">
        <v>0</v>
      </c>
      <c r="S4626">
        <v>0</v>
      </c>
      <c r="T4626">
        <v>0</v>
      </c>
      <c r="V4626">
        <v>0</v>
      </c>
      <c r="W4626" t="s">
        <v>6196</v>
      </c>
    </row>
    <row r="4627" spans="1:23" x14ac:dyDescent="0.25">
      <c r="H4627">
        <v>703</v>
      </c>
    </row>
    <row r="4628" spans="1:23" x14ac:dyDescent="0.25">
      <c r="A4628">
        <v>2311</v>
      </c>
      <c r="B4628">
        <v>2773</v>
      </c>
      <c r="C4628" t="s">
        <v>6197</v>
      </c>
      <c r="D4628" t="s">
        <v>109</v>
      </c>
      <c r="E4628" t="s">
        <v>91</v>
      </c>
      <c r="F4628" t="s">
        <v>6198</v>
      </c>
      <c r="G4628" t="str">
        <f>"00140930"</f>
        <v>00140930</v>
      </c>
      <c r="H4628">
        <v>572</v>
      </c>
      <c r="I4628">
        <v>150</v>
      </c>
      <c r="J4628">
        <v>50</v>
      </c>
      <c r="K4628">
        <v>0</v>
      </c>
      <c r="L4628">
        <v>0</v>
      </c>
      <c r="M4628">
        <v>0</v>
      </c>
      <c r="N4628">
        <v>0</v>
      </c>
      <c r="O4628">
        <v>0</v>
      </c>
      <c r="P4628">
        <v>0</v>
      </c>
      <c r="Q4628">
        <v>0</v>
      </c>
      <c r="R4628">
        <v>0</v>
      </c>
      <c r="S4628">
        <v>0</v>
      </c>
      <c r="T4628">
        <v>0</v>
      </c>
      <c r="V4628">
        <v>2</v>
      </c>
      <c r="W4628">
        <v>772</v>
      </c>
    </row>
    <row r="4629" spans="1:23" x14ac:dyDescent="0.25">
      <c r="H4629" t="s">
        <v>70</v>
      </c>
    </row>
    <row r="4630" spans="1:23" x14ac:dyDescent="0.25">
      <c r="A4630">
        <v>2312</v>
      </c>
      <c r="B4630">
        <v>336</v>
      </c>
      <c r="C4630" t="s">
        <v>6199</v>
      </c>
      <c r="D4630" t="s">
        <v>53</v>
      </c>
      <c r="E4630" t="s">
        <v>135</v>
      </c>
      <c r="F4630" t="s">
        <v>6200</v>
      </c>
      <c r="G4630" t="str">
        <f>"00226045"</f>
        <v>00226045</v>
      </c>
      <c r="H4630" t="s">
        <v>2419</v>
      </c>
      <c r="I4630">
        <v>0</v>
      </c>
      <c r="J4630">
        <v>0</v>
      </c>
      <c r="K4630">
        <v>0</v>
      </c>
      <c r="L4630">
        <v>0</v>
      </c>
      <c r="M4630">
        <v>0</v>
      </c>
      <c r="N4630">
        <v>0</v>
      </c>
      <c r="O4630">
        <v>0</v>
      </c>
      <c r="P4630">
        <v>0</v>
      </c>
      <c r="Q4630">
        <v>0</v>
      </c>
      <c r="R4630">
        <v>4</v>
      </c>
      <c r="S4630">
        <v>28</v>
      </c>
      <c r="T4630">
        <v>0</v>
      </c>
      <c r="V4630">
        <v>1</v>
      </c>
      <c r="W4630" t="s">
        <v>6201</v>
      </c>
    </row>
    <row r="4631" spans="1:23" x14ac:dyDescent="0.25">
      <c r="H4631">
        <v>703</v>
      </c>
    </row>
    <row r="4632" spans="1:23" x14ac:dyDescent="0.25">
      <c r="A4632">
        <v>2313</v>
      </c>
      <c r="B4632">
        <v>1703</v>
      </c>
      <c r="C4632" t="s">
        <v>6202</v>
      </c>
      <c r="D4632" t="s">
        <v>76</v>
      </c>
      <c r="E4632" t="s">
        <v>41</v>
      </c>
      <c r="F4632" t="s">
        <v>6203</v>
      </c>
      <c r="G4632" t="str">
        <f>"201211000086"</f>
        <v>201211000086</v>
      </c>
      <c r="H4632">
        <v>770</v>
      </c>
      <c r="I4632">
        <v>0</v>
      </c>
      <c r="J4632">
        <v>0</v>
      </c>
      <c r="K4632">
        <v>0</v>
      </c>
      <c r="L4632">
        <v>0</v>
      </c>
      <c r="M4632">
        <v>0</v>
      </c>
      <c r="N4632">
        <v>0</v>
      </c>
      <c r="O4632">
        <v>0</v>
      </c>
      <c r="P4632">
        <v>0</v>
      </c>
      <c r="Q4632">
        <v>0</v>
      </c>
      <c r="R4632">
        <v>0</v>
      </c>
      <c r="S4632">
        <v>0</v>
      </c>
      <c r="T4632">
        <v>0</v>
      </c>
      <c r="V4632">
        <v>0</v>
      </c>
      <c r="W4632">
        <v>770</v>
      </c>
    </row>
    <row r="4633" spans="1:23" x14ac:dyDescent="0.25">
      <c r="H4633">
        <v>703</v>
      </c>
    </row>
    <row r="4634" spans="1:23" x14ac:dyDescent="0.25">
      <c r="A4634">
        <v>2314</v>
      </c>
      <c r="B4634">
        <v>2648</v>
      </c>
      <c r="C4634" t="s">
        <v>5939</v>
      </c>
      <c r="D4634" t="s">
        <v>230</v>
      </c>
      <c r="E4634" t="s">
        <v>53</v>
      </c>
      <c r="F4634" t="s">
        <v>6204</v>
      </c>
      <c r="G4634" t="str">
        <f>"00017299"</f>
        <v>00017299</v>
      </c>
      <c r="H4634">
        <v>770</v>
      </c>
      <c r="I4634">
        <v>0</v>
      </c>
      <c r="J4634">
        <v>0</v>
      </c>
      <c r="K4634">
        <v>0</v>
      </c>
      <c r="L4634">
        <v>0</v>
      </c>
      <c r="M4634">
        <v>0</v>
      </c>
      <c r="N4634">
        <v>0</v>
      </c>
      <c r="O4634">
        <v>0</v>
      </c>
      <c r="P4634">
        <v>0</v>
      </c>
      <c r="Q4634">
        <v>0</v>
      </c>
      <c r="R4634">
        <v>0</v>
      </c>
      <c r="S4634">
        <v>0</v>
      </c>
      <c r="T4634">
        <v>0</v>
      </c>
      <c r="V4634">
        <v>0</v>
      </c>
      <c r="W4634">
        <v>770</v>
      </c>
    </row>
    <row r="4635" spans="1:23" x14ac:dyDescent="0.25">
      <c r="H4635" t="s">
        <v>70</v>
      </c>
    </row>
    <row r="4636" spans="1:23" x14ac:dyDescent="0.25">
      <c r="A4636">
        <v>2315</v>
      </c>
      <c r="B4636">
        <v>2400</v>
      </c>
      <c r="C4636" t="s">
        <v>6205</v>
      </c>
      <c r="D4636" t="s">
        <v>6206</v>
      </c>
      <c r="E4636" t="s">
        <v>88</v>
      </c>
      <c r="F4636" t="s">
        <v>6207</v>
      </c>
      <c r="G4636" t="str">
        <f>"00029824"</f>
        <v>00029824</v>
      </c>
      <c r="H4636">
        <v>770</v>
      </c>
      <c r="I4636">
        <v>0</v>
      </c>
      <c r="J4636">
        <v>0</v>
      </c>
      <c r="K4636">
        <v>0</v>
      </c>
      <c r="L4636">
        <v>0</v>
      </c>
      <c r="M4636">
        <v>0</v>
      </c>
      <c r="N4636">
        <v>0</v>
      </c>
      <c r="O4636">
        <v>0</v>
      </c>
      <c r="P4636">
        <v>0</v>
      </c>
      <c r="Q4636">
        <v>0</v>
      </c>
      <c r="R4636">
        <v>0</v>
      </c>
      <c r="S4636">
        <v>0</v>
      </c>
      <c r="T4636">
        <v>0</v>
      </c>
      <c r="V4636">
        <v>1</v>
      </c>
      <c r="W4636">
        <v>770</v>
      </c>
    </row>
    <row r="4637" spans="1:23" x14ac:dyDescent="0.25">
      <c r="H4637">
        <v>703</v>
      </c>
    </row>
    <row r="4638" spans="1:23" x14ac:dyDescent="0.25">
      <c r="A4638">
        <v>2316</v>
      </c>
      <c r="B4638">
        <v>1852</v>
      </c>
      <c r="C4638" t="s">
        <v>6208</v>
      </c>
      <c r="D4638" t="s">
        <v>5740</v>
      </c>
      <c r="E4638" t="s">
        <v>1147</v>
      </c>
      <c r="F4638" t="s">
        <v>6209</v>
      </c>
      <c r="G4638" t="str">
        <f>"00160488"</f>
        <v>00160488</v>
      </c>
      <c r="H4638">
        <v>737</v>
      </c>
      <c r="I4638">
        <v>0</v>
      </c>
      <c r="J4638">
        <v>30</v>
      </c>
      <c r="K4638">
        <v>0</v>
      </c>
      <c r="L4638">
        <v>0</v>
      </c>
      <c r="M4638">
        <v>0</v>
      </c>
      <c r="N4638">
        <v>0</v>
      </c>
      <c r="O4638">
        <v>0</v>
      </c>
      <c r="P4638">
        <v>0</v>
      </c>
      <c r="Q4638">
        <v>0</v>
      </c>
      <c r="R4638">
        <v>0</v>
      </c>
      <c r="S4638">
        <v>0</v>
      </c>
      <c r="T4638">
        <v>0</v>
      </c>
      <c r="V4638">
        <v>1</v>
      </c>
      <c r="W4638">
        <v>767</v>
      </c>
    </row>
    <row r="4639" spans="1:23" x14ac:dyDescent="0.25">
      <c r="H4639">
        <v>703</v>
      </c>
    </row>
    <row r="4640" spans="1:23" x14ac:dyDescent="0.25">
      <c r="A4640">
        <v>2317</v>
      </c>
      <c r="B4640">
        <v>852</v>
      </c>
      <c r="C4640" t="s">
        <v>6210</v>
      </c>
      <c r="D4640" t="s">
        <v>629</v>
      </c>
      <c r="E4640" t="s">
        <v>99</v>
      </c>
      <c r="F4640" t="s">
        <v>6211</v>
      </c>
      <c r="G4640" t="str">
        <f>"00226683"</f>
        <v>00226683</v>
      </c>
      <c r="H4640" t="s">
        <v>3325</v>
      </c>
      <c r="I4640">
        <v>0</v>
      </c>
      <c r="J4640">
        <v>0</v>
      </c>
      <c r="K4640">
        <v>0</v>
      </c>
      <c r="L4640">
        <v>0</v>
      </c>
      <c r="M4640">
        <v>0</v>
      </c>
      <c r="N4640">
        <v>0</v>
      </c>
      <c r="O4640">
        <v>0</v>
      </c>
      <c r="P4640">
        <v>0</v>
      </c>
      <c r="Q4640">
        <v>0</v>
      </c>
      <c r="R4640">
        <v>0</v>
      </c>
      <c r="S4640">
        <v>0</v>
      </c>
      <c r="T4640">
        <v>0</v>
      </c>
      <c r="V4640">
        <v>0</v>
      </c>
      <c r="W4640" t="s">
        <v>3325</v>
      </c>
    </row>
    <row r="4641" spans="1:23" x14ac:dyDescent="0.25">
      <c r="H4641">
        <v>703</v>
      </c>
    </row>
    <row r="4642" spans="1:23" x14ac:dyDescent="0.25">
      <c r="A4642">
        <v>2318</v>
      </c>
      <c r="B4642">
        <v>983</v>
      </c>
      <c r="C4642" t="s">
        <v>6212</v>
      </c>
      <c r="D4642" t="s">
        <v>2243</v>
      </c>
      <c r="E4642" t="s">
        <v>109</v>
      </c>
      <c r="F4642" t="s">
        <v>6213</v>
      </c>
      <c r="G4642" t="str">
        <f>"200801010007"</f>
        <v>200801010007</v>
      </c>
      <c r="H4642">
        <v>715</v>
      </c>
      <c r="I4642">
        <v>0</v>
      </c>
      <c r="J4642">
        <v>50</v>
      </c>
      <c r="K4642">
        <v>0</v>
      </c>
      <c r="L4642">
        <v>0</v>
      </c>
      <c r="M4642">
        <v>0</v>
      </c>
      <c r="N4642">
        <v>0</v>
      </c>
      <c r="O4642">
        <v>0</v>
      </c>
      <c r="P4642">
        <v>0</v>
      </c>
      <c r="Q4642">
        <v>0</v>
      </c>
      <c r="R4642">
        <v>0</v>
      </c>
      <c r="S4642">
        <v>0</v>
      </c>
      <c r="T4642">
        <v>0</v>
      </c>
      <c r="V4642">
        <v>0</v>
      </c>
      <c r="W4642">
        <v>765</v>
      </c>
    </row>
    <row r="4643" spans="1:23" x14ac:dyDescent="0.25">
      <c r="H4643">
        <v>703</v>
      </c>
    </row>
    <row r="4644" spans="1:23" x14ac:dyDescent="0.25">
      <c r="A4644">
        <v>2319</v>
      </c>
      <c r="B4644">
        <v>739</v>
      </c>
      <c r="C4644" t="s">
        <v>3230</v>
      </c>
      <c r="D4644" t="s">
        <v>15</v>
      </c>
      <c r="E4644" t="s">
        <v>53</v>
      </c>
      <c r="F4644" t="s">
        <v>6214</v>
      </c>
      <c r="G4644" t="str">
        <f>"201604006232"</f>
        <v>201604006232</v>
      </c>
      <c r="H4644" t="s">
        <v>3917</v>
      </c>
      <c r="I4644">
        <v>0</v>
      </c>
      <c r="J4644">
        <v>30</v>
      </c>
      <c r="K4644">
        <v>0</v>
      </c>
      <c r="L4644">
        <v>0</v>
      </c>
      <c r="M4644">
        <v>0</v>
      </c>
      <c r="N4644">
        <v>0</v>
      </c>
      <c r="O4644">
        <v>0</v>
      </c>
      <c r="P4644">
        <v>0</v>
      </c>
      <c r="Q4644">
        <v>0</v>
      </c>
      <c r="R4644">
        <v>2</v>
      </c>
      <c r="S4644">
        <v>14</v>
      </c>
      <c r="T4644">
        <v>0</v>
      </c>
      <c r="V4644">
        <v>1</v>
      </c>
      <c r="W4644" t="s">
        <v>3108</v>
      </c>
    </row>
    <row r="4645" spans="1:23" x14ac:dyDescent="0.25">
      <c r="H4645" t="s">
        <v>70</v>
      </c>
    </row>
    <row r="4646" spans="1:23" x14ac:dyDescent="0.25">
      <c r="A4646">
        <v>2320</v>
      </c>
      <c r="B4646">
        <v>575</v>
      </c>
      <c r="C4646" t="s">
        <v>6215</v>
      </c>
      <c r="D4646" t="s">
        <v>67</v>
      </c>
      <c r="E4646" t="s">
        <v>6216</v>
      </c>
      <c r="F4646" t="s">
        <v>6217</v>
      </c>
      <c r="G4646" t="str">
        <f>"00197847"</f>
        <v>00197847</v>
      </c>
      <c r="H4646" t="s">
        <v>6218</v>
      </c>
      <c r="I4646">
        <v>0</v>
      </c>
      <c r="J4646">
        <v>30</v>
      </c>
      <c r="K4646">
        <v>0</v>
      </c>
      <c r="L4646">
        <v>0</v>
      </c>
      <c r="M4646">
        <v>0</v>
      </c>
      <c r="N4646">
        <v>0</v>
      </c>
      <c r="O4646">
        <v>0</v>
      </c>
      <c r="P4646">
        <v>0</v>
      </c>
      <c r="Q4646">
        <v>0</v>
      </c>
      <c r="R4646">
        <v>0</v>
      </c>
      <c r="S4646">
        <v>0</v>
      </c>
      <c r="T4646">
        <v>0</v>
      </c>
      <c r="V4646">
        <v>0</v>
      </c>
      <c r="W4646" t="s">
        <v>6219</v>
      </c>
    </row>
    <row r="4647" spans="1:23" x14ac:dyDescent="0.25">
      <c r="H4647">
        <v>703</v>
      </c>
    </row>
    <row r="4648" spans="1:23" x14ac:dyDescent="0.25">
      <c r="A4648">
        <v>2321</v>
      </c>
      <c r="B4648">
        <v>2125</v>
      </c>
      <c r="C4648" t="s">
        <v>6220</v>
      </c>
      <c r="D4648" t="s">
        <v>135</v>
      </c>
      <c r="E4648" t="s">
        <v>752</v>
      </c>
      <c r="F4648" t="s">
        <v>6221</v>
      </c>
      <c r="G4648" t="str">
        <f>"201511043572"</f>
        <v>201511043572</v>
      </c>
      <c r="H4648" t="s">
        <v>3035</v>
      </c>
      <c r="I4648">
        <v>0</v>
      </c>
      <c r="J4648">
        <v>0</v>
      </c>
      <c r="K4648">
        <v>0</v>
      </c>
      <c r="L4648">
        <v>0</v>
      </c>
      <c r="M4648">
        <v>0</v>
      </c>
      <c r="N4648">
        <v>0</v>
      </c>
      <c r="O4648">
        <v>0</v>
      </c>
      <c r="P4648">
        <v>0</v>
      </c>
      <c r="Q4648">
        <v>0</v>
      </c>
      <c r="R4648">
        <v>0</v>
      </c>
      <c r="S4648">
        <v>0</v>
      </c>
      <c r="T4648">
        <v>0</v>
      </c>
      <c r="V4648">
        <v>1</v>
      </c>
      <c r="W4648" t="s">
        <v>3035</v>
      </c>
    </row>
    <row r="4649" spans="1:23" x14ac:dyDescent="0.25">
      <c r="H4649">
        <v>703</v>
      </c>
    </row>
    <row r="4650" spans="1:23" x14ac:dyDescent="0.25">
      <c r="A4650">
        <v>2322</v>
      </c>
      <c r="B4650">
        <v>2464</v>
      </c>
      <c r="C4650" t="s">
        <v>6222</v>
      </c>
      <c r="D4650" t="s">
        <v>87</v>
      </c>
      <c r="E4650" t="s">
        <v>4286</v>
      </c>
      <c r="F4650" t="s">
        <v>6223</v>
      </c>
      <c r="G4650" t="str">
        <f>"00063693"</f>
        <v>00063693</v>
      </c>
      <c r="H4650">
        <v>660</v>
      </c>
      <c r="I4650">
        <v>0</v>
      </c>
      <c r="J4650">
        <v>70</v>
      </c>
      <c r="K4650">
        <v>0</v>
      </c>
      <c r="L4650">
        <v>0</v>
      </c>
      <c r="M4650">
        <v>30</v>
      </c>
      <c r="N4650">
        <v>0</v>
      </c>
      <c r="O4650">
        <v>0</v>
      </c>
      <c r="P4650">
        <v>0</v>
      </c>
      <c r="Q4650">
        <v>0</v>
      </c>
      <c r="R4650">
        <v>0</v>
      </c>
      <c r="S4650">
        <v>0</v>
      </c>
      <c r="T4650">
        <v>0</v>
      </c>
      <c r="V4650">
        <v>0</v>
      </c>
      <c r="W4650">
        <v>760</v>
      </c>
    </row>
    <row r="4651" spans="1:23" x14ac:dyDescent="0.25">
      <c r="H4651" t="s">
        <v>70</v>
      </c>
    </row>
    <row r="4652" spans="1:23" x14ac:dyDescent="0.25">
      <c r="A4652">
        <v>2323</v>
      </c>
      <c r="B4652">
        <v>146</v>
      </c>
      <c r="C4652" t="s">
        <v>2411</v>
      </c>
      <c r="D4652" t="s">
        <v>1678</v>
      </c>
      <c r="E4652" t="s">
        <v>99</v>
      </c>
      <c r="F4652" t="s">
        <v>6224</v>
      </c>
      <c r="G4652" t="str">
        <f>"00140573"</f>
        <v>00140573</v>
      </c>
      <c r="H4652" t="s">
        <v>2431</v>
      </c>
      <c r="I4652">
        <v>0</v>
      </c>
      <c r="J4652">
        <v>50</v>
      </c>
      <c r="K4652">
        <v>0</v>
      </c>
      <c r="L4652">
        <v>0</v>
      </c>
      <c r="M4652">
        <v>0</v>
      </c>
      <c r="N4652">
        <v>0</v>
      </c>
      <c r="O4652">
        <v>0</v>
      </c>
      <c r="P4652">
        <v>0</v>
      </c>
      <c r="Q4652">
        <v>0</v>
      </c>
      <c r="R4652">
        <v>0</v>
      </c>
      <c r="S4652">
        <v>0</v>
      </c>
      <c r="T4652">
        <v>0</v>
      </c>
      <c r="V4652">
        <v>0</v>
      </c>
      <c r="W4652" t="s">
        <v>6225</v>
      </c>
    </row>
    <row r="4653" spans="1:23" x14ac:dyDescent="0.25">
      <c r="H4653">
        <v>703</v>
      </c>
    </row>
    <row r="4654" spans="1:23" x14ac:dyDescent="0.25">
      <c r="A4654">
        <v>2324</v>
      </c>
      <c r="B4654">
        <v>1023</v>
      </c>
      <c r="C4654" t="s">
        <v>6226</v>
      </c>
      <c r="D4654" t="s">
        <v>293</v>
      </c>
      <c r="E4654" t="s">
        <v>752</v>
      </c>
      <c r="F4654" t="s">
        <v>6227</v>
      </c>
      <c r="G4654" t="str">
        <f>"201512002850"</f>
        <v>201512002850</v>
      </c>
      <c r="H4654">
        <v>726</v>
      </c>
      <c r="I4654">
        <v>0</v>
      </c>
      <c r="J4654">
        <v>30</v>
      </c>
      <c r="K4654">
        <v>0</v>
      </c>
      <c r="L4654">
        <v>0</v>
      </c>
      <c r="M4654">
        <v>0</v>
      </c>
      <c r="N4654">
        <v>0</v>
      </c>
      <c r="O4654">
        <v>0</v>
      </c>
      <c r="P4654">
        <v>0</v>
      </c>
      <c r="Q4654">
        <v>0</v>
      </c>
      <c r="R4654">
        <v>0</v>
      </c>
      <c r="S4654">
        <v>0</v>
      </c>
      <c r="T4654">
        <v>0</v>
      </c>
      <c r="V4654">
        <v>1</v>
      </c>
      <c r="W4654">
        <v>756</v>
      </c>
    </row>
    <row r="4655" spans="1:23" x14ac:dyDescent="0.25">
      <c r="H4655">
        <v>703</v>
      </c>
    </row>
    <row r="4656" spans="1:23" x14ac:dyDescent="0.25">
      <c r="A4656">
        <v>2325</v>
      </c>
      <c r="B4656">
        <v>96</v>
      </c>
      <c r="C4656" t="s">
        <v>1366</v>
      </c>
      <c r="D4656" t="s">
        <v>109</v>
      </c>
      <c r="E4656" t="s">
        <v>58</v>
      </c>
      <c r="F4656" t="s">
        <v>6228</v>
      </c>
      <c r="G4656" t="str">
        <f>"201410012132"</f>
        <v>201410012132</v>
      </c>
      <c r="H4656" t="s">
        <v>3917</v>
      </c>
      <c r="I4656">
        <v>0</v>
      </c>
      <c r="J4656">
        <v>0</v>
      </c>
      <c r="K4656">
        <v>0</v>
      </c>
      <c r="L4656">
        <v>0</v>
      </c>
      <c r="M4656">
        <v>0</v>
      </c>
      <c r="N4656">
        <v>0</v>
      </c>
      <c r="O4656">
        <v>0</v>
      </c>
      <c r="P4656">
        <v>0</v>
      </c>
      <c r="Q4656">
        <v>0</v>
      </c>
      <c r="R4656">
        <v>5</v>
      </c>
      <c r="S4656">
        <v>35</v>
      </c>
      <c r="T4656">
        <v>0</v>
      </c>
      <c r="V4656">
        <v>0</v>
      </c>
      <c r="W4656" t="s">
        <v>6229</v>
      </c>
    </row>
    <row r="4657" spans="1:23" x14ac:dyDescent="0.25">
      <c r="H4657">
        <v>703</v>
      </c>
    </row>
    <row r="4658" spans="1:23" x14ac:dyDescent="0.25">
      <c r="A4658">
        <v>2326</v>
      </c>
      <c r="B4658">
        <v>1285</v>
      </c>
      <c r="C4658" t="s">
        <v>6230</v>
      </c>
      <c r="D4658" t="s">
        <v>113</v>
      </c>
      <c r="E4658" t="s">
        <v>91</v>
      </c>
      <c r="F4658" t="s">
        <v>6231</v>
      </c>
      <c r="G4658" t="str">
        <f>"00020573"</f>
        <v>00020573</v>
      </c>
      <c r="H4658">
        <v>605</v>
      </c>
      <c r="I4658">
        <v>150</v>
      </c>
      <c r="J4658">
        <v>0</v>
      </c>
      <c r="K4658">
        <v>0</v>
      </c>
      <c r="L4658">
        <v>0</v>
      </c>
      <c r="M4658">
        <v>0</v>
      </c>
      <c r="N4658">
        <v>0</v>
      </c>
      <c r="O4658">
        <v>0</v>
      </c>
      <c r="P4658">
        <v>0</v>
      </c>
      <c r="Q4658">
        <v>0</v>
      </c>
      <c r="R4658">
        <v>0</v>
      </c>
      <c r="S4658">
        <v>0</v>
      </c>
      <c r="T4658">
        <v>0</v>
      </c>
      <c r="V4658">
        <v>0</v>
      </c>
      <c r="W4658">
        <v>755</v>
      </c>
    </row>
    <row r="4659" spans="1:23" x14ac:dyDescent="0.25">
      <c r="H4659">
        <v>703</v>
      </c>
    </row>
    <row r="4660" spans="1:23" x14ac:dyDescent="0.25">
      <c r="A4660">
        <v>2327</v>
      </c>
      <c r="B4660">
        <v>2759</v>
      </c>
      <c r="C4660" t="s">
        <v>6232</v>
      </c>
      <c r="D4660" t="s">
        <v>20</v>
      </c>
      <c r="E4660" t="s">
        <v>454</v>
      </c>
      <c r="F4660" t="s">
        <v>6233</v>
      </c>
      <c r="G4660" t="str">
        <f>"201405000195"</f>
        <v>201405000195</v>
      </c>
      <c r="H4660">
        <v>704</v>
      </c>
      <c r="I4660">
        <v>0</v>
      </c>
      <c r="J4660">
        <v>0</v>
      </c>
      <c r="K4660">
        <v>0</v>
      </c>
      <c r="L4660">
        <v>0</v>
      </c>
      <c r="M4660">
        <v>0</v>
      </c>
      <c r="N4660">
        <v>0</v>
      </c>
      <c r="O4660">
        <v>0</v>
      </c>
      <c r="P4660">
        <v>50</v>
      </c>
      <c r="Q4660">
        <v>0</v>
      </c>
      <c r="R4660">
        <v>0</v>
      </c>
      <c r="S4660">
        <v>0</v>
      </c>
      <c r="T4660">
        <v>0</v>
      </c>
      <c r="V4660">
        <v>1</v>
      </c>
      <c r="W4660">
        <v>754</v>
      </c>
    </row>
    <row r="4661" spans="1:23" x14ac:dyDescent="0.25">
      <c r="H4661">
        <v>703</v>
      </c>
    </row>
    <row r="4662" spans="1:23" x14ac:dyDescent="0.25">
      <c r="A4662">
        <v>2328</v>
      </c>
      <c r="B4662">
        <v>1932</v>
      </c>
      <c r="C4662" t="s">
        <v>6234</v>
      </c>
      <c r="D4662" t="s">
        <v>708</v>
      </c>
      <c r="E4662" t="s">
        <v>105</v>
      </c>
      <c r="F4662" t="s">
        <v>6235</v>
      </c>
      <c r="G4662" t="str">
        <f>"00176614"</f>
        <v>00176614</v>
      </c>
      <c r="H4662" t="s">
        <v>2191</v>
      </c>
      <c r="I4662">
        <v>0</v>
      </c>
      <c r="J4662">
        <v>0</v>
      </c>
      <c r="K4662">
        <v>0</v>
      </c>
      <c r="L4662">
        <v>0</v>
      </c>
      <c r="M4662">
        <v>0</v>
      </c>
      <c r="N4662">
        <v>0</v>
      </c>
      <c r="O4662">
        <v>0</v>
      </c>
      <c r="P4662">
        <v>0</v>
      </c>
      <c r="Q4662">
        <v>0</v>
      </c>
      <c r="R4662">
        <v>0</v>
      </c>
      <c r="S4662">
        <v>0</v>
      </c>
      <c r="T4662">
        <v>0</v>
      </c>
      <c r="V4662">
        <v>2</v>
      </c>
      <c r="W4662" t="s">
        <v>2191</v>
      </c>
    </row>
    <row r="4663" spans="1:23" x14ac:dyDescent="0.25">
      <c r="H4663" t="s">
        <v>70</v>
      </c>
    </row>
    <row r="4664" spans="1:23" x14ac:dyDescent="0.25">
      <c r="A4664">
        <v>2329</v>
      </c>
      <c r="B4664">
        <v>1608</v>
      </c>
      <c r="C4664" t="s">
        <v>6236</v>
      </c>
      <c r="D4664" t="s">
        <v>303</v>
      </c>
      <c r="E4664" t="s">
        <v>15</v>
      </c>
      <c r="F4664" t="s">
        <v>6237</v>
      </c>
      <c r="G4664" t="str">
        <f>"00015407"</f>
        <v>00015407</v>
      </c>
      <c r="H4664">
        <v>693</v>
      </c>
      <c r="I4664">
        <v>0</v>
      </c>
      <c r="J4664">
        <v>30</v>
      </c>
      <c r="K4664">
        <v>30</v>
      </c>
      <c r="L4664">
        <v>0</v>
      </c>
      <c r="M4664">
        <v>0</v>
      </c>
      <c r="N4664">
        <v>0</v>
      </c>
      <c r="O4664">
        <v>0</v>
      </c>
      <c r="P4664">
        <v>0</v>
      </c>
      <c r="Q4664">
        <v>0</v>
      </c>
      <c r="R4664">
        <v>0</v>
      </c>
      <c r="S4664">
        <v>0</v>
      </c>
      <c r="T4664">
        <v>0</v>
      </c>
      <c r="V4664">
        <v>0</v>
      </c>
      <c r="W4664">
        <v>753</v>
      </c>
    </row>
    <row r="4665" spans="1:23" x14ac:dyDescent="0.25">
      <c r="H4665">
        <v>703</v>
      </c>
    </row>
    <row r="4666" spans="1:23" x14ac:dyDescent="0.25">
      <c r="A4666">
        <v>2330</v>
      </c>
      <c r="B4666">
        <v>2341</v>
      </c>
      <c r="C4666" t="s">
        <v>6238</v>
      </c>
      <c r="D4666" t="s">
        <v>3061</v>
      </c>
      <c r="E4666" t="s">
        <v>523</v>
      </c>
      <c r="F4666" t="s">
        <v>6239</v>
      </c>
      <c r="G4666" t="str">
        <f>"00194954"</f>
        <v>00194954</v>
      </c>
      <c r="H4666">
        <v>748</v>
      </c>
      <c r="I4666">
        <v>0</v>
      </c>
      <c r="J4666">
        <v>0</v>
      </c>
      <c r="K4666">
        <v>0</v>
      </c>
      <c r="L4666">
        <v>0</v>
      </c>
      <c r="M4666">
        <v>0</v>
      </c>
      <c r="N4666">
        <v>0</v>
      </c>
      <c r="O4666">
        <v>0</v>
      </c>
      <c r="P4666">
        <v>0</v>
      </c>
      <c r="Q4666">
        <v>0</v>
      </c>
      <c r="R4666">
        <v>0</v>
      </c>
      <c r="S4666">
        <v>0</v>
      </c>
      <c r="T4666">
        <v>0</v>
      </c>
      <c r="V4666">
        <v>0</v>
      </c>
      <c r="W4666">
        <v>748</v>
      </c>
    </row>
    <row r="4667" spans="1:23" x14ac:dyDescent="0.25">
      <c r="H4667">
        <v>703</v>
      </c>
    </row>
    <row r="4668" spans="1:23" x14ac:dyDescent="0.25">
      <c r="A4668">
        <v>2331</v>
      </c>
      <c r="B4668">
        <v>1123</v>
      </c>
      <c r="C4668" t="s">
        <v>1427</v>
      </c>
      <c r="D4668" t="s">
        <v>67</v>
      </c>
      <c r="E4668" t="s">
        <v>76</v>
      </c>
      <c r="F4668" t="s">
        <v>6240</v>
      </c>
      <c r="G4668" t="str">
        <f>"00019170"</f>
        <v>00019170</v>
      </c>
      <c r="H4668" t="s">
        <v>5082</v>
      </c>
      <c r="I4668">
        <v>0</v>
      </c>
      <c r="J4668">
        <v>30</v>
      </c>
      <c r="K4668">
        <v>50</v>
      </c>
      <c r="L4668">
        <v>0</v>
      </c>
      <c r="M4668">
        <v>0</v>
      </c>
      <c r="N4668">
        <v>0</v>
      </c>
      <c r="O4668">
        <v>0</v>
      </c>
      <c r="P4668">
        <v>0</v>
      </c>
      <c r="Q4668">
        <v>0</v>
      </c>
      <c r="R4668">
        <v>0</v>
      </c>
      <c r="S4668">
        <v>0</v>
      </c>
      <c r="T4668">
        <v>0</v>
      </c>
      <c r="V4668">
        <v>2</v>
      </c>
      <c r="W4668" t="s">
        <v>6241</v>
      </c>
    </row>
    <row r="4669" spans="1:23" x14ac:dyDescent="0.25">
      <c r="H4669" t="s">
        <v>70</v>
      </c>
    </row>
    <row r="4670" spans="1:23" x14ac:dyDescent="0.25">
      <c r="A4670">
        <v>2332</v>
      </c>
      <c r="B4670">
        <v>658</v>
      </c>
      <c r="C4670" t="s">
        <v>6242</v>
      </c>
      <c r="D4670" t="s">
        <v>46</v>
      </c>
      <c r="E4670" t="s">
        <v>113</v>
      </c>
      <c r="F4670" t="s">
        <v>6243</v>
      </c>
      <c r="G4670" t="str">
        <f>"00153925"</f>
        <v>00153925</v>
      </c>
      <c r="H4670">
        <v>715</v>
      </c>
      <c r="I4670">
        <v>0</v>
      </c>
      <c r="J4670">
        <v>30</v>
      </c>
      <c r="K4670">
        <v>0</v>
      </c>
      <c r="L4670">
        <v>0</v>
      </c>
      <c r="M4670">
        <v>0</v>
      </c>
      <c r="N4670">
        <v>0</v>
      </c>
      <c r="O4670">
        <v>0</v>
      </c>
      <c r="P4670">
        <v>0</v>
      </c>
      <c r="Q4670">
        <v>0</v>
      </c>
      <c r="R4670">
        <v>0</v>
      </c>
      <c r="S4670">
        <v>0</v>
      </c>
      <c r="T4670">
        <v>0</v>
      </c>
      <c r="V4670">
        <v>2</v>
      </c>
      <c r="W4670">
        <v>745</v>
      </c>
    </row>
    <row r="4671" spans="1:23" x14ac:dyDescent="0.25">
      <c r="H4671" t="s">
        <v>547</v>
      </c>
    </row>
    <row r="4672" spans="1:23" x14ac:dyDescent="0.25">
      <c r="A4672">
        <v>2333</v>
      </c>
      <c r="B4672">
        <v>1880</v>
      </c>
      <c r="C4672" t="s">
        <v>1865</v>
      </c>
      <c r="D4672" t="s">
        <v>273</v>
      </c>
      <c r="E4672" t="s">
        <v>109</v>
      </c>
      <c r="F4672" t="s">
        <v>6244</v>
      </c>
      <c r="G4672" t="str">
        <f>"00084885"</f>
        <v>00084885</v>
      </c>
      <c r="H4672" t="s">
        <v>2419</v>
      </c>
      <c r="I4672">
        <v>0</v>
      </c>
      <c r="J4672">
        <v>0</v>
      </c>
      <c r="K4672">
        <v>0</v>
      </c>
      <c r="L4672">
        <v>0</v>
      </c>
      <c r="M4672">
        <v>0</v>
      </c>
      <c r="N4672">
        <v>0</v>
      </c>
      <c r="O4672">
        <v>0</v>
      </c>
      <c r="P4672">
        <v>0</v>
      </c>
      <c r="Q4672">
        <v>0</v>
      </c>
      <c r="R4672">
        <v>0</v>
      </c>
      <c r="S4672">
        <v>0</v>
      </c>
      <c r="T4672">
        <v>0</v>
      </c>
      <c r="V4672">
        <v>0</v>
      </c>
      <c r="W4672" t="s">
        <v>2419</v>
      </c>
    </row>
    <row r="4673" spans="1:23" x14ac:dyDescent="0.25">
      <c r="H4673">
        <v>703</v>
      </c>
    </row>
    <row r="4674" spans="1:23" x14ac:dyDescent="0.25">
      <c r="A4674">
        <v>2334</v>
      </c>
      <c r="B4674">
        <v>123</v>
      </c>
      <c r="C4674" t="s">
        <v>6245</v>
      </c>
      <c r="D4674" t="s">
        <v>20</v>
      </c>
      <c r="E4674" t="s">
        <v>21</v>
      </c>
      <c r="F4674" t="s">
        <v>6246</v>
      </c>
      <c r="G4674" t="str">
        <f>"200802010782"</f>
        <v>200802010782</v>
      </c>
      <c r="H4674">
        <v>737</v>
      </c>
      <c r="I4674">
        <v>0</v>
      </c>
      <c r="J4674">
        <v>0</v>
      </c>
      <c r="K4674">
        <v>0</v>
      </c>
      <c r="L4674">
        <v>0</v>
      </c>
      <c r="M4674">
        <v>0</v>
      </c>
      <c r="N4674">
        <v>0</v>
      </c>
      <c r="O4674">
        <v>0</v>
      </c>
      <c r="P4674">
        <v>0</v>
      </c>
      <c r="Q4674">
        <v>0</v>
      </c>
      <c r="R4674">
        <v>0</v>
      </c>
      <c r="S4674">
        <v>0</v>
      </c>
      <c r="T4674">
        <v>0</v>
      </c>
      <c r="V4674">
        <v>0</v>
      </c>
      <c r="W4674">
        <v>737</v>
      </c>
    </row>
    <row r="4675" spans="1:23" x14ac:dyDescent="0.25">
      <c r="H4675">
        <v>703</v>
      </c>
    </row>
    <row r="4676" spans="1:23" x14ac:dyDescent="0.25">
      <c r="A4676">
        <v>2335</v>
      </c>
      <c r="B4676">
        <v>2060</v>
      </c>
      <c r="C4676" t="s">
        <v>6247</v>
      </c>
      <c r="D4676" t="s">
        <v>6248</v>
      </c>
      <c r="E4676" t="s">
        <v>99</v>
      </c>
      <c r="F4676" t="s">
        <v>6249</v>
      </c>
      <c r="G4676" t="str">
        <f>"00228864"</f>
        <v>00228864</v>
      </c>
      <c r="H4676">
        <v>550</v>
      </c>
      <c r="I4676">
        <v>150</v>
      </c>
      <c r="J4676">
        <v>30</v>
      </c>
      <c r="K4676">
        <v>0</v>
      </c>
      <c r="L4676">
        <v>0</v>
      </c>
      <c r="M4676">
        <v>0</v>
      </c>
      <c r="N4676">
        <v>0</v>
      </c>
      <c r="O4676">
        <v>0</v>
      </c>
      <c r="P4676">
        <v>0</v>
      </c>
      <c r="Q4676">
        <v>0</v>
      </c>
      <c r="R4676">
        <v>0</v>
      </c>
      <c r="S4676">
        <v>0</v>
      </c>
      <c r="T4676">
        <v>0</v>
      </c>
      <c r="V4676">
        <v>0</v>
      </c>
      <c r="W4676">
        <v>730</v>
      </c>
    </row>
    <row r="4677" spans="1:23" x14ac:dyDescent="0.25">
      <c r="H4677" t="s">
        <v>26</v>
      </c>
    </row>
    <row r="4678" spans="1:23" x14ac:dyDescent="0.25">
      <c r="A4678">
        <v>2336</v>
      </c>
      <c r="B4678">
        <v>2176</v>
      </c>
      <c r="C4678" t="s">
        <v>6250</v>
      </c>
      <c r="D4678" t="s">
        <v>67</v>
      </c>
      <c r="E4678" t="s">
        <v>523</v>
      </c>
      <c r="F4678" t="s">
        <v>6251</v>
      </c>
      <c r="G4678" t="str">
        <f>"201406013153"</f>
        <v>201406013153</v>
      </c>
      <c r="H4678" t="s">
        <v>4904</v>
      </c>
      <c r="I4678">
        <v>0</v>
      </c>
      <c r="J4678">
        <v>30</v>
      </c>
      <c r="K4678">
        <v>0</v>
      </c>
      <c r="L4678">
        <v>0</v>
      </c>
      <c r="M4678">
        <v>0</v>
      </c>
      <c r="N4678">
        <v>0</v>
      </c>
      <c r="O4678">
        <v>0</v>
      </c>
      <c r="P4678">
        <v>0</v>
      </c>
      <c r="Q4678">
        <v>0</v>
      </c>
      <c r="R4678">
        <v>8</v>
      </c>
      <c r="S4678">
        <v>56</v>
      </c>
      <c r="T4678">
        <v>0</v>
      </c>
      <c r="V4678">
        <v>0</v>
      </c>
      <c r="W4678" t="s">
        <v>6252</v>
      </c>
    </row>
    <row r="4679" spans="1:23" x14ac:dyDescent="0.25">
      <c r="H4679">
        <v>703</v>
      </c>
    </row>
    <row r="4680" spans="1:23" x14ac:dyDescent="0.25">
      <c r="A4680">
        <v>2337</v>
      </c>
      <c r="B4680">
        <v>2359</v>
      </c>
      <c r="C4680" t="s">
        <v>6253</v>
      </c>
      <c r="D4680" t="s">
        <v>597</v>
      </c>
      <c r="E4680" t="s">
        <v>15</v>
      </c>
      <c r="F4680" t="s">
        <v>6254</v>
      </c>
      <c r="G4680" t="str">
        <f>"00002714"</f>
        <v>00002714</v>
      </c>
      <c r="H4680" t="s">
        <v>3317</v>
      </c>
      <c r="I4680">
        <v>0</v>
      </c>
      <c r="J4680">
        <v>0</v>
      </c>
      <c r="K4680">
        <v>0</v>
      </c>
      <c r="L4680">
        <v>0</v>
      </c>
      <c r="M4680">
        <v>0</v>
      </c>
      <c r="N4680">
        <v>0</v>
      </c>
      <c r="O4680">
        <v>0</v>
      </c>
      <c r="P4680">
        <v>0</v>
      </c>
      <c r="Q4680">
        <v>0</v>
      </c>
      <c r="R4680">
        <v>0</v>
      </c>
      <c r="S4680">
        <v>0</v>
      </c>
      <c r="T4680">
        <v>0</v>
      </c>
      <c r="V4680">
        <v>0</v>
      </c>
      <c r="W4680" t="s">
        <v>3317</v>
      </c>
    </row>
    <row r="4681" spans="1:23" x14ac:dyDescent="0.25">
      <c r="H4681">
        <v>703</v>
      </c>
    </row>
    <row r="4682" spans="1:23" x14ac:dyDescent="0.25">
      <c r="A4682">
        <v>2338</v>
      </c>
      <c r="B4682">
        <v>1045</v>
      </c>
      <c r="C4682" t="s">
        <v>6255</v>
      </c>
      <c r="D4682" t="s">
        <v>21</v>
      </c>
      <c r="E4682" t="s">
        <v>41</v>
      </c>
      <c r="F4682" t="s">
        <v>6256</v>
      </c>
      <c r="G4682" t="str">
        <f>"00223364"</f>
        <v>00223364</v>
      </c>
      <c r="H4682" t="s">
        <v>6257</v>
      </c>
      <c r="I4682">
        <v>0</v>
      </c>
      <c r="J4682">
        <v>0</v>
      </c>
      <c r="K4682">
        <v>0</v>
      </c>
      <c r="L4682">
        <v>0</v>
      </c>
      <c r="M4682">
        <v>0</v>
      </c>
      <c r="N4682">
        <v>0</v>
      </c>
      <c r="O4682">
        <v>0</v>
      </c>
      <c r="P4682">
        <v>0</v>
      </c>
      <c r="Q4682">
        <v>0</v>
      </c>
      <c r="R4682">
        <v>0</v>
      </c>
      <c r="S4682">
        <v>0</v>
      </c>
      <c r="T4682">
        <v>0</v>
      </c>
      <c r="V4682">
        <v>0</v>
      </c>
      <c r="W4682" t="s">
        <v>6257</v>
      </c>
    </row>
    <row r="4683" spans="1:23" x14ac:dyDescent="0.25">
      <c r="H4683">
        <v>703</v>
      </c>
    </row>
    <row r="4684" spans="1:23" x14ac:dyDescent="0.25">
      <c r="A4684">
        <v>2339</v>
      </c>
      <c r="B4684">
        <v>2970</v>
      </c>
      <c r="C4684" t="s">
        <v>6258</v>
      </c>
      <c r="D4684" t="s">
        <v>91</v>
      </c>
      <c r="E4684" t="s">
        <v>482</v>
      </c>
      <c r="F4684" t="s">
        <v>6259</v>
      </c>
      <c r="G4684" t="str">
        <f>"201405002004"</f>
        <v>201405002004</v>
      </c>
      <c r="H4684">
        <v>726</v>
      </c>
      <c r="I4684">
        <v>0</v>
      </c>
      <c r="J4684">
        <v>0</v>
      </c>
      <c r="K4684">
        <v>0</v>
      </c>
      <c r="L4684">
        <v>0</v>
      </c>
      <c r="M4684">
        <v>0</v>
      </c>
      <c r="N4684">
        <v>0</v>
      </c>
      <c r="O4684">
        <v>0</v>
      </c>
      <c r="P4684">
        <v>0</v>
      </c>
      <c r="Q4684">
        <v>0</v>
      </c>
      <c r="R4684">
        <v>0</v>
      </c>
      <c r="S4684">
        <v>0</v>
      </c>
      <c r="T4684">
        <v>0</v>
      </c>
      <c r="V4684">
        <v>0</v>
      </c>
      <c r="W4684">
        <v>726</v>
      </c>
    </row>
    <row r="4685" spans="1:23" x14ac:dyDescent="0.25">
      <c r="H4685">
        <v>703</v>
      </c>
    </row>
    <row r="4686" spans="1:23" x14ac:dyDescent="0.25">
      <c r="A4686">
        <v>2340</v>
      </c>
      <c r="B4686">
        <v>1830</v>
      </c>
      <c r="C4686" t="s">
        <v>6260</v>
      </c>
      <c r="D4686" t="s">
        <v>248</v>
      </c>
      <c r="E4686" t="s">
        <v>105</v>
      </c>
      <c r="F4686" t="s">
        <v>6261</v>
      </c>
      <c r="G4686" t="str">
        <f>"201511036472"</f>
        <v>201511036472</v>
      </c>
      <c r="H4686" t="s">
        <v>3917</v>
      </c>
      <c r="I4686">
        <v>0</v>
      </c>
      <c r="J4686">
        <v>0</v>
      </c>
      <c r="K4686">
        <v>0</v>
      </c>
      <c r="L4686">
        <v>0</v>
      </c>
      <c r="M4686">
        <v>0</v>
      </c>
      <c r="N4686">
        <v>0</v>
      </c>
      <c r="O4686">
        <v>0</v>
      </c>
      <c r="P4686">
        <v>0</v>
      </c>
      <c r="Q4686">
        <v>0</v>
      </c>
      <c r="R4686">
        <v>0</v>
      </c>
      <c r="S4686">
        <v>0</v>
      </c>
      <c r="T4686">
        <v>0</v>
      </c>
      <c r="V4686">
        <v>0</v>
      </c>
      <c r="W4686" t="s">
        <v>3917</v>
      </c>
    </row>
    <row r="4687" spans="1:23" x14ac:dyDescent="0.25">
      <c r="H4687" t="s">
        <v>70</v>
      </c>
    </row>
    <row r="4688" spans="1:23" x14ac:dyDescent="0.25">
      <c r="A4688">
        <v>2341</v>
      </c>
      <c r="B4688">
        <v>2225</v>
      </c>
      <c r="C4688" t="s">
        <v>6262</v>
      </c>
      <c r="D4688" t="s">
        <v>47</v>
      </c>
      <c r="E4688" t="s">
        <v>129</v>
      </c>
      <c r="F4688" t="s">
        <v>6263</v>
      </c>
      <c r="G4688" t="str">
        <f>"201410003098"</f>
        <v>201410003098</v>
      </c>
      <c r="H4688">
        <v>660</v>
      </c>
      <c r="I4688">
        <v>0</v>
      </c>
      <c r="J4688">
        <v>30</v>
      </c>
      <c r="K4688">
        <v>0</v>
      </c>
      <c r="L4688">
        <v>30</v>
      </c>
      <c r="M4688">
        <v>0</v>
      </c>
      <c r="N4688">
        <v>0</v>
      </c>
      <c r="O4688">
        <v>0</v>
      </c>
      <c r="P4688">
        <v>0</v>
      </c>
      <c r="Q4688">
        <v>0</v>
      </c>
      <c r="R4688">
        <v>0</v>
      </c>
      <c r="S4688">
        <v>0</v>
      </c>
      <c r="T4688">
        <v>0</v>
      </c>
      <c r="V4688">
        <v>0</v>
      </c>
      <c r="W4688">
        <v>720</v>
      </c>
    </row>
    <row r="4689" spans="1:23" x14ac:dyDescent="0.25">
      <c r="H4689" t="s">
        <v>70</v>
      </c>
    </row>
    <row r="4690" spans="1:23" x14ac:dyDescent="0.25">
      <c r="A4690">
        <v>2342</v>
      </c>
      <c r="B4690">
        <v>1488</v>
      </c>
      <c r="C4690" t="s">
        <v>6264</v>
      </c>
      <c r="D4690" t="s">
        <v>68</v>
      </c>
      <c r="E4690" t="s">
        <v>708</v>
      </c>
      <c r="F4690" t="s">
        <v>6265</v>
      </c>
      <c r="G4690" t="str">
        <f>"00140391"</f>
        <v>00140391</v>
      </c>
      <c r="H4690">
        <v>715</v>
      </c>
      <c r="I4690">
        <v>0</v>
      </c>
      <c r="J4690">
        <v>0</v>
      </c>
      <c r="K4690">
        <v>0</v>
      </c>
      <c r="L4690">
        <v>0</v>
      </c>
      <c r="M4690">
        <v>0</v>
      </c>
      <c r="N4690">
        <v>0</v>
      </c>
      <c r="O4690">
        <v>0</v>
      </c>
      <c r="P4690">
        <v>0</v>
      </c>
      <c r="Q4690">
        <v>0</v>
      </c>
      <c r="R4690">
        <v>0</v>
      </c>
      <c r="S4690">
        <v>0</v>
      </c>
      <c r="T4690">
        <v>0</v>
      </c>
      <c r="V4690">
        <v>0</v>
      </c>
      <c r="W4690">
        <v>715</v>
      </c>
    </row>
    <row r="4691" spans="1:23" x14ac:dyDescent="0.25">
      <c r="H4691">
        <v>703</v>
      </c>
    </row>
    <row r="4692" spans="1:23" x14ac:dyDescent="0.25">
      <c r="A4692">
        <v>2343</v>
      </c>
      <c r="B4692">
        <v>2846</v>
      </c>
      <c r="C4692" t="s">
        <v>6266</v>
      </c>
      <c r="D4692" t="s">
        <v>1978</v>
      </c>
      <c r="E4692" t="s">
        <v>99</v>
      </c>
      <c r="F4692" t="s">
        <v>6267</v>
      </c>
      <c r="G4692" t="str">
        <f>"00014671"</f>
        <v>00014671</v>
      </c>
      <c r="H4692">
        <v>715</v>
      </c>
      <c r="I4692">
        <v>0</v>
      </c>
      <c r="J4692">
        <v>0</v>
      </c>
      <c r="K4692">
        <v>0</v>
      </c>
      <c r="L4692">
        <v>0</v>
      </c>
      <c r="M4692">
        <v>0</v>
      </c>
      <c r="N4692">
        <v>0</v>
      </c>
      <c r="O4692">
        <v>0</v>
      </c>
      <c r="P4692">
        <v>0</v>
      </c>
      <c r="Q4692">
        <v>0</v>
      </c>
      <c r="R4692">
        <v>0</v>
      </c>
      <c r="S4692">
        <v>0</v>
      </c>
      <c r="T4692">
        <v>0</v>
      </c>
      <c r="V4692">
        <v>0</v>
      </c>
      <c r="W4692">
        <v>715</v>
      </c>
    </row>
    <row r="4693" spans="1:23" x14ac:dyDescent="0.25">
      <c r="H4693">
        <v>703</v>
      </c>
    </row>
    <row r="4694" spans="1:23" x14ac:dyDescent="0.25">
      <c r="A4694">
        <v>2344</v>
      </c>
      <c r="B4694">
        <v>2935</v>
      </c>
      <c r="C4694" t="s">
        <v>6268</v>
      </c>
      <c r="D4694" t="s">
        <v>356</v>
      </c>
      <c r="E4694" t="s">
        <v>454</v>
      </c>
      <c r="F4694" t="s">
        <v>6269</v>
      </c>
      <c r="G4694" t="str">
        <f>"201604001738"</f>
        <v>201604001738</v>
      </c>
      <c r="H4694">
        <v>715</v>
      </c>
      <c r="I4694">
        <v>0</v>
      </c>
      <c r="J4694">
        <v>0</v>
      </c>
      <c r="K4694">
        <v>0</v>
      </c>
      <c r="L4694">
        <v>0</v>
      </c>
      <c r="M4694">
        <v>0</v>
      </c>
      <c r="N4694">
        <v>0</v>
      </c>
      <c r="O4694">
        <v>0</v>
      </c>
      <c r="P4694">
        <v>0</v>
      </c>
      <c r="Q4694">
        <v>0</v>
      </c>
      <c r="R4694">
        <v>0</v>
      </c>
      <c r="S4694">
        <v>0</v>
      </c>
      <c r="T4694">
        <v>0</v>
      </c>
      <c r="V4694">
        <v>0</v>
      </c>
      <c r="W4694">
        <v>715</v>
      </c>
    </row>
    <row r="4695" spans="1:23" x14ac:dyDescent="0.25">
      <c r="H4695">
        <v>703</v>
      </c>
    </row>
    <row r="4696" spans="1:23" x14ac:dyDescent="0.25">
      <c r="A4696">
        <v>2345</v>
      </c>
      <c r="B4696">
        <v>467</v>
      </c>
      <c r="C4696" t="s">
        <v>6270</v>
      </c>
      <c r="D4696" t="s">
        <v>62</v>
      </c>
      <c r="E4696" t="s">
        <v>91</v>
      </c>
      <c r="F4696" t="s">
        <v>6271</v>
      </c>
      <c r="G4696" t="str">
        <f>"201406013161"</f>
        <v>201406013161</v>
      </c>
      <c r="H4696" t="s">
        <v>4904</v>
      </c>
      <c r="I4696">
        <v>0</v>
      </c>
      <c r="J4696">
        <v>70</v>
      </c>
      <c r="K4696">
        <v>0</v>
      </c>
      <c r="L4696">
        <v>0</v>
      </c>
      <c r="M4696">
        <v>0</v>
      </c>
      <c r="N4696">
        <v>0</v>
      </c>
      <c r="O4696">
        <v>0</v>
      </c>
      <c r="P4696">
        <v>0</v>
      </c>
      <c r="Q4696">
        <v>0</v>
      </c>
      <c r="R4696">
        <v>0</v>
      </c>
      <c r="S4696">
        <v>0</v>
      </c>
      <c r="T4696">
        <v>0</v>
      </c>
      <c r="V4696">
        <v>0</v>
      </c>
      <c r="W4696" t="s">
        <v>6272</v>
      </c>
    </row>
    <row r="4697" spans="1:23" x14ac:dyDescent="0.25">
      <c r="H4697">
        <v>703</v>
      </c>
    </row>
    <row r="4698" spans="1:23" x14ac:dyDescent="0.25">
      <c r="A4698">
        <v>2346</v>
      </c>
      <c r="B4698">
        <v>2991</v>
      </c>
      <c r="C4698" t="s">
        <v>6273</v>
      </c>
      <c r="D4698" t="s">
        <v>140</v>
      </c>
      <c r="E4698" t="s">
        <v>109</v>
      </c>
      <c r="F4698" t="s">
        <v>6274</v>
      </c>
      <c r="G4698" t="str">
        <f>"00230154"</f>
        <v>00230154</v>
      </c>
      <c r="H4698">
        <v>561</v>
      </c>
      <c r="I4698">
        <v>150</v>
      </c>
      <c r="J4698">
        <v>0</v>
      </c>
      <c r="K4698">
        <v>0</v>
      </c>
      <c r="L4698">
        <v>0</v>
      </c>
      <c r="M4698">
        <v>0</v>
      </c>
      <c r="N4698">
        <v>0</v>
      </c>
      <c r="O4698">
        <v>0</v>
      </c>
      <c r="P4698">
        <v>0</v>
      </c>
      <c r="Q4698">
        <v>0</v>
      </c>
      <c r="R4698">
        <v>0</v>
      </c>
      <c r="S4698">
        <v>0</v>
      </c>
      <c r="T4698">
        <v>0</v>
      </c>
      <c r="V4698">
        <v>0</v>
      </c>
      <c r="W4698">
        <v>711</v>
      </c>
    </row>
    <row r="4699" spans="1:23" x14ac:dyDescent="0.25">
      <c r="H4699">
        <v>703</v>
      </c>
    </row>
    <row r="4700" spans="1:23" x14ac:dyDescent="0.25">
      <c r="A4700">
        <v>2347</v>
      </c>
      <c r="B4700">
        <v>1544</v>
      </c>
      <c r="C4700" t="s">
        <v>6275</v>
      </c>
      <c r="D4700" t="s">
        <v>91</v>
      </c>
      <c r="E4700" t="s">
        <v>41</v>
      </c>
      <c r="F4700" t="s">
        <v>6276</v>
      </c>
      <c r="G4700" t="str">
        <f>"201412003663"</f>
        <v>201412003663</v>
      </c>
      <c r="H4700">
        <v>605</v>
      </c>
      <c r="I4700">
        <v>0</v>
      </c>
      <c r="J4700">
        <v>70</v>
      </c>
      <c r="K4700">
        <v>0</v>
      </c>
      <c r="L4700">
        <v>0</v>
      </c>
      <c r="M4700">
        <v>0</v>
      </c>
      <c r="N4700">
        <v>0</v>
      </c>
      <c r="O4700">
        <v>0</v>
      </c>
      <c r="P4700">
        <v>0</v>
      </c>
      <c r="Q4700">
        <v>0</v>
      </c>
      <c r="R4700">
        <v>5</v>
      </c>
      <c r="S4700">
        <v>35</v>
      </c>
      <c r="T4700">
        <v>0</v>
      </c>
      <c r="V4700">
        <v>0</v>
      </c>
      <c r="W4700">
        <v>710</v>
      </c>
    </row>
    <row r="4701" spans="1:23" x14ac:dyDescent="0.25">
      <c r="H4701">
        <v>703</v>
      </c>
    </row>
    <row r="4702" spans="1:23" x14ac:dyDescent="0.25">
      <c r="A4702">
        <v>2348</v>
      </c>
      <c r="B4702">
        <v>1902</v>
      </c>
      <c r="C4702" t="s">
        <v>6277</v>
      </c>
      <c r="D4702" t="s">
        <v>6278</v>
      </c>
      <c r="E4702" t="s">
        <v>15</v>
      </c>
      <c r="F4702" t="s">
        <v>6279</v>
      </c>
      <c r="G4702" t="str">
        <f>"201511013747"</f>
        <v>201511013747</v>
      </c>
      <c r="H4702" t="s">
        <v>2715</v>
      </c>
      <c r="I4702">
        <v>0</v>
      </c>
      <c r="J4702">
        <v>0</v>
      </c>
      <c r="K4702">
        <v>0</v>
      </c>
      <c r="L4702">
        <v>0</v>
      </c>
      <c r="M4702">
        <v>0</v>
      </c>
      <c r="N4702">
        <v>0</v>
      </c>
      <c r="O4702">
        <v>0</v>
      </c>
      <c r="P4702">
        <v>0</v>
      </c>
      <c r="Q4702">
        <v>0</v>
      </c>
      <c r="R4702">
        <v>0</v>
      </c>
      <c r="S4702">
        <v>0</v>
      </c>
      <c r="T4702">
        <v>0</v>
      </c>
      <c r="V4702">
        <v>0</v>
      </c>
      <c r="W4702" t="s">
        <v>2715</v>
      </c>
    </row>
    <row r="4703" spans="1:23" x14ac:dyDescent="0.25">
      <c r="H4703">
        <v>703</v>
      </c>
    </row>
    <row r="4704" spans="1:23" x14ac:dyDescent="0.25">
      <c r="A4704">
        <v>2349</v>
      </c>
      <c r="B4704">
        <v>567</v>
      </c>
      <c r="C4704" t="s">
        <v>6280</v>
      </c>
      <c r="D4704" t="s">
        <v>140</v>
      </c>
      <c r="E4704" t="s">
        <v>91</v>
      </c>
      <c r="F4704">
        <v>410097</v>
      </c>
      <c r="G4704" t="str">
        <f>"00138258"</f>
        <v>00138258</v>
      </c>
      <c r="H4704" t="s">
        <v>2937</v>
      </c>
      <c r="I4704">
        <v>0</v>
      </c>
      <c r="J4704">
        <v>0</v>
      </c>
      <c r="K4704">
        <v>0</v>
      </c>
      <c r="L4704">
        <v>0</v>
      </c>
      <c r="M4704">
        <v>0</v>
      </c>
      <c r="N4704">
        <v>0</v>
      </c>
      <c r="O4704">
        <v>0</v>
      </c>
      <c r="P4704">
        <v>0</v>
      </c>
      <c r="Q4704">
        <v>0</v>
      </c>
      <c r="R4704">
        <v>0</v>
      </c>
      <c r="S4704">
        <v>0</v>
      </c>
      <c r="T4704">
        <v>0</v>
      </c>
      <c r="V4704">
        <v>0</v>
      </c>
      <c r="W4704" t="s">
        <v>2937</v>
      </c>
    </row>
    <row r="4705" spans="1:23" x14ac:dyDescent="0.25">
      <c r="H4705">
        <v>703</v>
      </c>
    </row>
    <row r="4706" spans="1:23" x14ac:dyDescent="0.25">
      <c r="A4706">
        <v>2350</v>
      </c>
      <c r="B4706">
        <v>2261</v>
      </c>
      <c r="C4706" t="s">
        <v>6281</v>
      </c>
      <c r="D4706" t="s">
        <v>6282</v>
      </c>
      <c r="E4706" t="s">
        <v>227</v>
      </c>
      <c r="F4706" t="s">
        <v>6283</v>
      </c>
      <c r="G4706" t="str">
        <f>"201002000116"</f>
        <v>201002000116</v>
      </c>
      <c r="H4706">
        <v>605</v>
      </c>
      <c r="I4706">
        <v>0</v>
      </c>
      <c r="J4706">
        <v>30</v>
      </c>
      <c r="K4706">
        <v>0</v>
      </c>
      <c r="L4706">
        <v>0</v>
      </c>
      <c r="M4706">
        <v>0</v>
      </c>
      <c r="N4706">
        <v>0</v>
      </c>
      <c r="O4706">
        <v>0</v>
      </c>
      <c r="P4706">
        <v>0</v>
      </c>
      <c r="Q4706">
        <v>0</v>
      </c>
      <c r="R4706">
        <v>7</v>
      </c>
      <c r="S4706">
        <v>49</v>
      </c>
      <c r="T4706">
        <v>0</v>
      </c>
      <c r="V4706">
        <v>0</v>
      </c>
      <c r="W4706">
        <v>684</v>
      </c>
    </row>
    <row r="4707" spans="1:23" x14ac:dyDescent="0.25">
      <c r="H4707">
        <v>703</v>
      </c>
    </row>
    <row r="4708" spans="1:23" x14ac:dyDescent="0.25">
      <c r="A4708">
        <v>2351</v>
      </c>
      <c r="B4708">
        <v>2177</v>
      </c>
      <c r="C4708" t="s">
        <v>6284</v>
      </c>
      <c r="D4708" t="s">
        <v>91</v>
      </c>
      <c r="E4708" t="s">
        <v>53</v>
      </c>
      <c r="F4708" t="s">
        <v>6285</v>
      </c>
      <c r="G4708" t="str">
        <f>"201406004260"</f>
        <v>201406004260</v>
      </c>
      <c r="H4708" t="s">
        <v>5263</v>
      </c>
      <c r="I4708">
        <v>0</v>
      </c>
      <c r="J4708">
        <v>30</v>
      </c>
      <c r="K4708">
        <v>30</v>
      </c>
      <c r="L4708">
        <v>0</v>
      </c>
      <c r="M4708">
        <v>0</v>
      </c>
      <c r="N4708">
        <v>0</v>
      </c>
      <c r="O4708">
        <v>0</v>
      </c>
      <c r="P4708">
        <v>0</v>
      </c>
      <c r="Q4708">
        <v>0</v>
      </c>
      <c r="R4708">
        <v>0</v>
      </c>
      <c r="S4708">
        <v>0</v>
      </c>
      <c r="T4708">
        <v>0</v>
      </c>
      <c r="V4708">
        <v>1</v>
      </c>
      <c r="W4708" t="s">
        <v>6286</v>
      </c>
    </row>
    <row r="4709" spans="1:23" x14ac:dyDescent="0.25">
      <c r="H4709" t="s">
        <v>6287</v>
      </c>
    </row>
    <row r="4710" spans="1:23" x14ac:dyDescent="0.25">
      <c r="A4710">
        <v>2352</v>
      </c>
      <c r="B4710">
        <v>815</v>
      </c>
      <c r="C4710" t="s">
        <v>6288</v>
      </c>
      <c r="D4710" t="s">
        <v>109</v>
      </c>
      <c r="E4710" t="s">
        <v>99</v>
      </c>
      <c r="F4710" t="s">
        <v>6289</v>
      </c>
      <c r="G4710" t="str">
        <f>"00165866"</f>
        <v>00165866</v>
      </c>
      <c r="H4710">
        <v>638</v>
      </c>
      <c r="I4710">
        <v>0</v>
      </c>
      <c r="J4710">
        <v>30</v>
      </c>
      <c r="K4710">
        <v>0</v>
      </c>
      <c r="L4710">
        <v>0</v>
      </c>
      <c r="M4710">
        <v>0</v>
      </c>
      <c r="N4710">
        <v>0</v>
      </c>
      <c r="O4710">
        <v>0</v>
      </c>
      <c r="P4710">
        <v>0</v>
      </c>
      <c r="Q4710">
        <v>0</v>
      </c>
      <c r="R4710">
        <v>0</v>
      </c>
      <c r="S4710">
        <v>0</v>
      </c>
      <c r="T4710">
        <v>0</v>
      </c>
      <c r="V4710">
        <v>0</v>
      </c>
      <c r="W4710">
        <v>668</v>
      </c>
    </row>
    <row r="4711" spans="1:23" x14ac:dyDescent="0.25">
      <c r="H4711">
        <v>703</v>
      </c>
    </row>
    <row r="4712" spans="1:23" x14ac:dyDescent="0.25">
      <c r="A4712">
        <v>2353</v>
      </c>
      <c r="B4712">
        <v>978</v>
      </c>
      <c r="C4712" t="s">
        <v>6290</v>
      </c>
      <c r="D4712" t="s">
        <v>105</v>
      </c>
      <c r="E4712" t="s">
        <v>76</v>
      </c>
      <c r="F4712" t="s">
        <v>6291</v>
      </c>
      <c r="G4712" t="str">
        <f>"201603000574"</f>
        <v>201603000574</v>
      </c>
      <c r="H4712">
        <v>660</v>
      </c>
      <c r="I4712">
        <v>0</v>
      </c>
      <c r="J4712">
        <v>0</v>
      </c>
      <c r="K4712">
        <v>0</v>
      </c>
      <c r="L4712">
        <v>0</v>
      </c>
      <c r="M4712">
        <v>0</v>
      </c>
      <c r="N4712">
        <v>0</v>
      </c>
      <c r="O4712">
        <v>0</v>
      </c>
      <c r="P4712">
        <v>0</v>
      </c>
      <c r="Q4712">
        <v>0</v>
      </c>
      <c r="R4712">
        <v>0</v>
      </c>
      <c r="S4712">
        <v>0</v>
      </c>
      <c r="T4712">
        <v>0</v>
      </c>
      <c r="V4712">
        <v>0</v>
      </c>
      <c r="W4712">
        <v>660</v>
      </c>
    </row>
    <row r="4713" spans="1:23" x14ac:dyDescent="0.25">
      <c r="H4713">
        <v>703</v>
      </c>
    </row>
    <row r="4714" spans="1:23" x14ac:dyDescent="0.25">
      <c r="A4714">
        <v>2354</v>
      </c>
      <c r="B4714">
        <v>1570</v>
      </c>
      <c r="C4714" t="s">
        <v>6292</v>
      </c>
      <c r="D4714" t="s">
        <v>654</v>
      </c>
      <c r="E4714" t="s">
        <v>21</v>
      </c>
      <c r="F4714" t="s">
        <v>6293</v>
      </c>
      <c r="G4714" t="str">
        <f>"201410005886"</f>
        <v>201410005886</v>
      </c>
      <c r="H4714">
        <v>660</v>
      </c>
      <c r="I4714">
        <v>0</v>
      </c>
      <c r="J4714">
        <v>0</v>
      </c>
      <c r="K4714">
        <v>0</v>
      </c>
      <c r="L4714">
        <v>0</v>
      </c>
      <c r="M4714">
        <v>0</v>
      </c>
      <c r="N4714">
        <v>0</v>
      </c>
      <c r="O4714">
        <v>0</v>
      </c>
      <c r="P4714">
        <v>0</v>
      </c>
      <c r="Q4714">
        <v>0</v>
      </c>
      <c r="R4714">
        <v>0</v>
      </c>
      <c r="S4714">
        <v>0</v>
      </c>
      <c r="T4714">
        <v>0</v>
      </c>
      <c r="V4714">
        <v>0</v>
      </c>
      <c r="W4714">
        <v>660</v>
      </c>
    </row>
    <row r="4715" spans="1:23" x14ac:dyDescent="0.25">
      <c r="H4715">
        <v>703</v>
      </c>
    </row>
    <row r="4716" spans="1:23" x14ac:dyDescent="0.25">
      <c r="A4716">
        <v>2355</v>
      </c>
      <c r="B4716">
        <v>1237</v>
      </c>
      <c r="C4716" t="s">
        <v>6294</v>
      </c>
      <c r="D4716" t="s">
        <v>109</v>
      </c>
      <c r="E4716" t="s">
        <v>350</v>
      </c>
      <c r="F4716" t="s">
        <v>6295</v>
      </c>
      <c r="G4716" t="str">
        <f>"00155797"</f>
        <v>00155797</v>
      </c>
      <c r="H4716">
        <v>660</v>
      </c>
      <c r="I4716">
        <v>0</v>
      </c>
      <c r="J4716">
        <v>0</v>
      </c>
      <c r="K4716">
        <v>0</v>
      </c>
      <c r="L4716">
        <v>0</v>
      </c>
      <c r="M4716">
        <v>0</v>
      </c>
      <c r="N4716">
        <v>0</v>
      </c>
      <c r="O4716">
        <v>0</v>
      </c>
      <c r="P4716">
        <v>0</v>
      </c>
      <c r="Q4716">
        <v>0</v>
      </c>
      <c r="R4716">
        <v>0</v>
      </c>
      <c r="S4716">
        <v>0</v>
      </c>
      <c r="T4716">
        <v>0</v>
      </c>
      <c r="V4716">
        <v>0</v>
      </c>
      <c r="W4716">
        <v>660</v>
      </c>
    </row>
    <row r="4717" spans="1:23" x14ac:dyDescent="0.25">
      <c r="H4717">
        <v>703</v>
      </c>
    </row>
    <row r="4718" spans="1:23" x14ac:dyDescent="0.25">
      <c r="A4718">
        <v>2356</v>
      </c>
      <c r="B4718">
        <v>899</v>
      </c>
      <c r="C4718" t="s">
        <v>2951</v>
      </c>
      <c r="D4718" t="s">
        <v>6296</v>
      </c>
      <c r="E4718" t="s">
        <v>91</v>
      </c>
      <c r="F4718" t="s">
        <v>6297</v>
      </c>
      <c r="G4718" t="str">
        <f>"201406006050"</f>
        <v>201406006050</v>
      </c>
      <c r="H4718">
        <v>605</v>
      </c>
      <c r="I4718">
        <v>0</v>
      </c>
      <c r="J4718">
        <v>50</v>
      </c>
      <c r="K4718">
        <v>0</v>
      </c>
      <c r="L4718">
        <v>0</v>
      </c>
      <c r="M4718">
        <v>0</v>
      </c>
      <c r="N4718">
        <v>0</v>
      </c>
      <c r="O4718">
        <v>0</v>
      </c>
      <c r="P4718">
        <v>0</v>
      </c>
      <c r="Q4718">
        <v>0</v>
      </c>
      <c r="R4718">
        <v>0</v>
      </c>
      <c r="S4718">
        <v>0</v>
      </c>
      <c r="T4718">
        <v>0</v>
      </c>
      <c r="V4718">
        <v>0</v>
      </c>
      <c r="W4718">
        <v>655</v>
      </c>
    </row>
    <row r="4719" spans="1:23" x14ac:dyDescent="0.25">
      <c r="H4719" t="s">
        <v>26</v>
      </c>
    </row>
    <row r="4720" spans="1:23" x14ac:dyDescent="0.25">
      <c r="A4720">
        <v>2357</v>
      </c>
      <c r="B4720">
        <v>2074</v>
      </c>
      <c r="C4720" t="s">
        <v>6298</v>
      </c>
      <c r="D4720" t="s">
        <v>37</v>
      </c>
      <c r="E4720" t="s">
        <v>1633</v>
      </c>
      <c r="F4720" t="s">
        <v>6299</v>
      </c>
      <c r="G4720" t="str">
        <f>"00227200"</f>
        <v>00227200</v>
      </c>
      <c r="H4720" t="s">
        <v>5263</v>
      </c>
      <c r="I4720">
        <v>0</v>
      </c>
      <c r="J4720">
        <v>30</v>
      </c>
      <c r="K4720">
        <v>0</v>
      </c>
      <c r="L4720">
        <v>0</v>
      </c>
      <c r="M4720">
        <v>0</v>
      </c>
      <c r="N4720">
        <v>0</v>
      </c>
      <c r="O4720">
        <v>0</v>
      </c>
      <c r="P4720">
        <v>0</v>
      </c>
      <c r="Q4720">
        <v>0</v>
      </c>
      <c r="R4720">
        <v>0</v>
      </c>
      <c r="S4720">
        <v>0</v>
      </c>
      <c r="T4720">
        <v>0</v>
      </c>
      <c r="V4720">
        <v>0</v>
      </c>
      <c r="W4720" t="s">
        <v>6300</v>
      </c>
    </row>
    <row r="4721" spans="1:23" x14ac:dyDescent="0.25">
      <c r="H4721" t="s">
        <v>70</v>
      </c>
    </row>
    <row r="4722" spans="1:23" x14ac:dyDescent="0.25">
      <c r="A4722">
        <v>2358</v>
      </c>
      <c r="B4722">
        <v>2367</v>
      </c>
      <c r="C4722" t="s">
        <v>5846</v>
      </c>
      <c r="D4722" t="s">
        <v>230</v>
      </c>
      <c r="E4722" t="s">
        <v>15</v>
      </c>
      <c r="F4722" t="s">
        <v>6301</v>
      </c>
      <c r="G4722" t="str">
        <f>"00191083"</f>
        <v>00191083</v>
      </c>
      <c r="H4722" t="s">
        <v>3963</v>
      </c>
      <c r="I4722">
        <v>0</v>
      </c>
      <c r="J4722">
        <v>0</v>
      </c>
      <c r="K4722">
        <v>0</v>
      </c>
      <c r="L4722">
        <v>30</v>
      </c>
      <c r="M4722">
        <v>0</v>
      </c>
      <c r="N4722">
        <v>0</v>
      </c>
      <c r="O4722">
        <v>0</v>
      </c>
      <c r="P4722">
        <v>0</v>
      </c>
      <c r="Q4722">
        <v>0</v>
      </c>
      <c r="R4722">
        <v>1</v>
      </c>
      <c r="S4722">
        <v>7</v>
      </c>
      <c r="T4722">
        <v>0</v>
      </c>
      <c r="V4722">
        <v>1</v>
      </c>
      <c r="W4722" t="s">
        <v>6302</v>
      </c>
    </row>
    <row r="4723" spans="1:23" x14ac:dyDescent="0.25">
      <c r="H4723">
        <v>703</v>
      </c>
    </row>
    <row r="4724" spans="1:23" x14ac:dyDescent="0.25">
      <c r="A4724">
        <v>2359</v>
      </c>
      <c r="B4724">
        <v>2666</v>
      </c>
      <c r="C4724" t="s">
        <v>6303</v>
      </c>
      <c r="D4724" t="s">
        <v>33</v>
      </c>
      <c r="E4724" t="s">
        <v>847</v>
      </c>
      <c r="F4724" t="s">
        <v>6304</v>
      </c>
      <c r="G4724" t="str">
        <f>"201411002743"</f>
        <v>201411002743</v>
      </c>
      <c r="H4724" t="s">
        <v>6305</v>
      </c>
      <c r="I4724">
        <v>0</v>
      </c>
      <c r="J4724">
        <v>0</v>
      </c>
      <c r="K4724">
        <v>0</v>
      </c>
      <c r="L4724">
        <v>0</v>
      </c>
      <c r="M4724">
        <v>0</v>
      </c>
      <c r="N4724">
        <v>0</v>
      </c>
      <c r="O4724">
        <v>0</v>
      </c>
      <c r="P4724">
        <v>0</v>
      </c>
      <c r="Q4724">
        <v>0</v>
      </c>
      <c r="R4724">
        <v>0</v>
      </c>
      <c r="S4724">
        <v>0</v>
      </c>
      <c r="T4724">
        <v>0</v>
      </c>
      <c r="V4724">
        <v>2</v>
      </c>
      <c r="W4724" t="s">
        <v>6305</v>
      </c>
    </row>
    <row r="4725" spans="1:23" x14ac:dyDescent="0.25">
      <c r="H4725" t="s">
        <v>2427</v>
      </c>
    </row>
    <row r="4726" spans="1:23" x14ac:dyDescent="0.25">
      <c r="A4726">
        <v>2360</v>
      </c>
      <c r="B4726">
        <v>2796</v>
      </c>
      <c r="C4726" t="s">
        <v>6003</v>
      </c>
      <c r="D4726" t="s">
        <v>4523</v>
      </c>
      <c r="E4726" t="s">
        <v>76</v>
      </c>
      <c r="F4726" t="s">
        <v>6306</v>
      </c>
      <c r="G4726" t="str">
        <f>"201411002323"</f>
        <v>201411002323</v>
      </c>
      <c r="H4726" t="s">
        <v>4904</v>
      </c>
      <c r="I4726">
        <v>0</v>
      </c>
      <c r="J4726">
        <v>0</v>
      </c>
      <c r="K4726">
        <v>0</v>
      </c>
      <c r="L4726">
        <v>0</v>
      </c>
      <c r="M4726">
        <v>0</v>
      </c>
      <c r="N4726">
        <v>0</v>
      </c>
      <c r="O4726">
        <v>0</v>
      </c>
      <c r="P4726">
        <v>0</v>
      </c>
      <c r="Q4726">
        <v>0</v>
      </c>
      <c r="R4726">
        <v>0</v>
      </c>
      <c r="S4726">
        <v>0</v>
      </c>
      <c r="T4726">
        <v>0</v>
      </c>
      <c r="V4726">
        <v>0</v>
      </c>
      <c r="W4726" t="s">
        <v>4904</v>
      </c>
    </row>
    <row r="4727" spans="1:23" x14ac:dyDescent="0.25">
      <c r="H4727" t="s">
        <v>3704</v>
      </c>
    </row>
    <row r="4728" spans="1:23" x14ac:dyDescent="0.25">
      <c r="A4728">
        <v>2361</v>
      </c>
      <c r="B4728">
        <v>533</v>
      </c>
      <c r="C4728" t="s">
        <v>3094</v>
      </c>
      <c r="D4728" t="s">
        <v>523</v>
      </c>
      <c r="E4728" t="s">
        <v>105</v>
      </c>
      <c r="F4728" t="s">
        <v>6307</v>
      </c>
      <c r="G4728" t="str">
        <f>"201412005627"</f>
        <v>201412005627</v>
      </c>
      <c r="H4728">
        <v>594</v>
      </c>
      <c r="I4728">
        <v>0</v>
      </c>
      <c r="J4728">
        <v>30</v>
      </c>
      <c r="K4728">
        <v>0</v>
      </c>
      <c r="L4728">
        <v>0</v>
      </c>
      <c r="M4728">
        <v>0</v>
      </c>
      <c r="N4728">
        <v>0</v>
      </c>
      <c r="O4728">
        <v>0</v>
      </c>
      <c r="P4728">
        <v>0</v>
      </c>
      <c r="Q4728">
        <v>0</v>
      </c>
      <c r="R4728">
        <v>2</v>
      </c>
      <c r="S4728">
        <v>14</v>
      </c>
      <c r="T4728">
        <v>0</v>
      </c>
      <c r="V4728">
        <v>0</v>
      </c>
      <c r="W4728">
        <v>638</v>
      </c>
    </row>
    <row r="4729" spans="1:23" x14ac:dyDescent="0.25">
      <c r="H4729">
        <v>703</v>
      </c>
    </row>
    <row r="4730" spans="1:23" x14ac:dyDescent="0.25">
      <c r="A4730">
        <v>2362</v>
      </c>
      <c r="B4730">
        <v>2354</v>
      </c>
      <c r="C4730" t="s">
        <v>6308</v>
      </c>
      <c r="D4730" t="s">
        <v>20</v>
      </c>
      <c r="E4730" t="s">
        <v>105</v>
      </c>
      <c r="F4730" t="s">
        <v>6309</v>
      </c>
      <c r="G4730" t="str">
        <f>"00019370"</f>
        <v>00019370</v>
      </c>
      <c r="H4730">
        <v>605</v>
      </c>
      <c r="I4730">
        <v>0</v>
      </c>
      <c r="J4730">
        <v>30</v>
      </c>
      <c r="K4730">
        <v>0</v>
      </c>
      <c r="L4730">
        <v>0</v>
      </c>
      <c r="M4730">
        <v>0</v>
      </c>
      <c r="N4730">
        <v>0</v>
      </c>
      <c r="O4730">
        <v>0</v>
      </c>
      <c r="P4730">
        <v>0</v>
      </c>
      <c r="Q4730">
        <v>0</v>
      </c>
      <c r="R4730">
        <v>0</v>
      </c>
      <c r="S4730">
        <v>0</v>
      </c>
      <c r="T4730">
        <v>0</v>
      </c>
      <c r="V4730">
        <v>1</v>
      </c>
      <c r="W4730">
        <v>635</v>
      </c>
    </row>
    <row r="4731" spans="1:23" x14ac:dyDescent="0.25">
      <c r="H4731">
        <v>703</v>
      </c>
    </row>
    <row r="4732" spans="1:23" x14ac:dyDescent="0.25">
      <c r="A4732">
        <v>2363</v>
      </c>
      <c r="B4732">
        <v>2296</v>
      </c>
      <c r="C4732" t="s">
        <v>6310</v>
      </c>
      <c r="D4732" t="s">
        <v>6311</v>
      </c>
      <c r="E4732" t="s">
        <v>6312</v>
      </c>
      <c r="F4732" t="s">
        <v>6313</v>
      </c>
      <c r="G4732" t="str">
        <f>"00123785"</f>
        <v>00123785</v>
      </c>
      <c r="H4732">
        <v>605</v>
      </c>
      <c r="I4732">
        <v>0</v>
      </c>
      <c r="J4732">
        <v>30</v>
      </c>
      <c r="K4732">
        <v>0</v>
      </c>
      <c r="L4732">
        <v>0</v>
      </c>
      <c r="M4732">
        <v>0</v>
      </c>
      <c r="N4732">
        <v>0</v>
      </c>
      <c r="O4732">
        <v>0</v>
      </c>
      <c r="P4732">
        <v>0</v>
      </c>
      <c r="Q4732">
        <v>0</v>
      </c>
      <c r="R4732">
        <v>0</v>
      </c>
      <c r="S4732">
        <v>0</v>
      </c>
      <c r="T4732">
        <v>0</v>
      </c>
      <c r="V4732">
        <v>1</v>
      </c>
      <c r="W4732">
        <v>635</v>
      </c>
    </row>
    <row r="4733" spans="1:23" x14ac:dyDescent="0.25">
      <c r="H4733" t="s">
        <v>550</v>
      </c>
    </row>
    <row r="4734" spans="1:23" x14ac:dyDescent="0.25">
      <c r="A4734">
        <v>2364</v>
      </c>
      <c r="B4734">
        <v>2300</v>
      </c>
      <c r="C4734" t="s">
        <v>6314</v>
      </c>
      <c r="D4734" t="s">
        <v>597</v>
      </c>
      <c r="E4734" t="s">
        <v>752</v>
      </c>
      <c r="F4734" t="s">
        <v>6315</v>
      </c>
      <c r="G4734" t="str">
        <f>"00170608"</f>
        <v>00170608</v>
      </c>
      <c r="H4734" t="s">
        <v>6316</v>
      </c>
      <c r="I4734">
        <v>0</v>
      </c>
      <c r="J4734">
        <v>0</v>
      </c>
      <c r="K4734">
        <v>0</v>
      </c>
      <c r="L4734">
        <v>0</v>
      </c>
      <c r="M4734">
        <v>0</v>
      </c>
      <c r="N4734">
        <v>0</v>
      </c>
      <c r="O4734">
        <v>0</v>
      </c>
      <c r="P4734">
        <v>0</v>
      </c>
      <c r="Q4734">
        <v>0</v>
      </c>
      <c r="R4734">
        <v>12</v>
      </c>
      <c r="S4734">
        <v>84</v>
      </c>
      <c r="T4734">
        <v>0</v>
      </c>
      <c r="V4734">
        <v>0</v>
      </c>
      <c r="W4734" t="s">
        <v>6317</v>
      </c>
    </row>
    <row r="4735" spans="1:23" x14ac:dyDescent="0.25">
      <c r="H4735">
        <v>703</v>
      </c>
    </row>
    <row r="4736" spans="1:23" x14ac:dyDescent="0.25">
      <c r="A4736">
        <v>2365</v>
      </c>
      <c r="B4736">
        <v>2280</v>
      </c>
      <c r="C4736" t="s">
        <v>6318</v>
      </c>
      <c r="D4736" t="s">
        <v>105</v>
      </c>
      <c r="E4736" t="s">
        <v>15</v>
      </c>
      <c r="F4736" t="s">
        <v>6319</v>
      </c>
      <c r="G4736" t="str">
        <f>"201511019389"</f>
        <v>201511019389</v>
      </c>
      <c r="H4736" t="s">
        <v>3963</v>
      </c>
      <c r="I4736">
        <v>0</v>
      </c>
      <c r="J4736">
        <v>0</v>
      </c>
      <c r="K4736">
        <v>0</v>
      </c>
      <c r="L4736">
        <v>0</v>
      </c>
      <c r="M4736">
        <v>0</v>
      </c>
      <c r="N4736">
        <v>0</v>
      </c>
      <c r="O4736">
        <v>0</v>
      </c>
      <c r="P4736">
        <v>0</v>
      </c>
      <c r="Q4736">
        <v>0</v>
      </c>
      <c r="R4736">
        <v>0</v>
      </c>
      <c r="S4736">
        <v>0</v>
      </c>
      <c r="T4736">
        <v>0</v>
      </c>
      <c r="V4736">
        <v>0</v>
      </c>
      <c r="W4736" t="s">
        <v>3963</v>
      </c>
    </row>
    <row r="4737" spans="1:23" x14ac:dyDescent="0.25">
      <c r="H4737">
        <v>703</v>
      </c>
    </row>
    <row r="4738" spans="1:23" x14ac:dyDescent="0.25">
      <c r="A4738">
        <v>2366</v>
      </c>
      <c r="B4738">
        <v>1030</v>
      </c>
      <c r="C4738" t="s">
        <v>6320</v>
      </c>
      <c r="D4738" t="s">
        <v>29</v>
      </c>
      <c r="E4738" t="s">
        <v>53</v>
      </c>
      <c r="F4738" t="s">
        <v>6321</v>
      </c>
      <c r="G4738" t="str">
        <f>"00109029"</f>
        <v>00109029</v>
      </c>
      <c r="H4738">
        <v>605</v>
      </c>
      <c r="I4738">
        <v>0</v>
      </c>
      <c r="J4738">
        <v>0</v>
      </c>
      <c r="K4738">
        <v>0</v>
      </c>
      <c r="L4738">
        <v>0</v>
      </c>
      <c r="M4738">
        <v>0</v>
      </c>
      <c r="N4738">
        <v>0</v>
      </c>
      <c r="O4738">
        <v>0</v>
      </c>
      <c r="P4738">
        <v>0</v>
      </c>
      <c r="Q4738">
        <v>0</v>
      </c>
      <c r="R4738">
        <v>0</v>
      </c>
      <c r="S4738">
        <v>0</v>
      </c>
      <c r="T4738">
        <v>0</v>
      </c>
      <c r="V4738">
        <v>0</v>
      </c>
      <c r="W4738">
        <v>605</v>
      </c>
    </row>
    <row r="4739" spans="1:23" x14ac:dyDescent="0.25">
      <c r="H4739">
        <v>703</v>
      </c>
    </row>
    <row r="4740" spans="1:23" x14ac:dyDescent="0.25">
      <c r="A4740">
        <v>2367</v>
      </c>
      <c r="B4740">
        <v>1509</v>
      </c>
      <c r="C4740" t="s">
        <v>6322</v>
      </c>
      <c r="D4740" t="s">
        <v>6323</v>
      </c>
      <c r="E4740" t="s">
        <v>6324</v>
      </c>
      <c r="F4740" t="s">
        <v>6325</v>
      </c>
      <c r="G4740" t="str">
        <f>"00195027"</f>
        <v>00195027</v>
      </c>
      <c r="H4740">
        <v>605</v>
      </c>
      <c r="I4740">
        <v>0</v>
      </c>
      <c r="J4740">
        <v>0</v>
      </c>
      <c r="K4740">
        <v>0</v>
      </c>
      <c r="L4740">
        <v>0</v>
      </c>
      <c r="M4740">
        <v>0</v>
      </c>
      <c r="N4740">
        <v>0</v>
      </c>
      <c r="O4740">
        <v>0</v>
      </c>
      <c r="P4740">
        <v>0</v>
      </c>
      <c r="Q4740">
        <v>0</v>
      </c>
      <c r="R4740">
        <v>0</v>
      </c>
      <c r="S4740">
        <v>0</v>
      </c>
      <c r="T4740">
        <v>0</v>
      </c>
      <c r="V4740">
        <v>2</v>
      </c>
      <c r="W4740">
        <v>605</v>
      </c>
    </row>
    <row r="4741" spans="1:23" x14ac:dyDescent="0.25">
      <c r="H4741">
        <v>703</v>
      </c>
    </row>
    <row r="4742" spans="1:23" x14ac:dyDescent="0.25">
      <c r="A4742">
        <v>2368</v>
      </c>
      <c r="B4742">
        <v>2673</v>
      </c>
      <c r="C4742" t="s">
        <v>6326</v>
      </c>
      <c r="D4742" t="s">
        <v>46</v>
      </c>
      <c r="E4742" t="s">
        <v>207</v>
      </c>
      <c r="F4742" t="s">
        <v>6327</v>
      </c>
      <c r="G4742" t="str">
        <f>"00004705"</f>
        <v>00004705</v>
      </c>
      <c r="H4742">
        <v>605</v>
      </c>
      <c r="I4742">
        <v>0</v>
      </c>
      <c r="J4742">
        <v>0</v>
      </c>
      <c r="K4742">
        <v>0</v>
      </c>
      <c r="L4742">
        <v>0</v>
      </c>
      <c r="M4742">
        <v>0</v>
      </c>
      <c r="N4742">
        <v>0</v>
      </c>
      <c r="O4742">
        <v>0</v>
      </c>
      <c r="P4742">
        <v>0</v>
      </c>
      <c r="Q4742">
        <v>0</v>
      </c>
      <c r="R4742">
        <v>0</v>
      </c>
      <c r="S4742">
        <v>0</v>
      </c>
      <c r="T4742">
        <v>0</v>
      </c>
      <c r="V4742">
        <v>0</v>
      </c>
      <c r="W4742">
        <v>605</v>
      </c>
    </row>
    <row r="4743" spans="1:23" x14ac:dyDescent="0.25">
      <c r="H4743">
        <v>703</v>
      </c>
    </row>
    <row r="4744" spans="1:23" x14ac:dyDescent="0.25">
      <c r="A4744">
        <v>2369</v>
      </c>
      <c r="B4744">
        <v>2990</v>
      </c>
      <c r="C4744" t="s">
        <v>167</v>
      </c>
      <c r="D4744" t="s">
        <v>24</v>
      </c>
      <c r="E4744" t="s">
        <v>468</v>
      </c>
      <c r="F4744" t="s">
        <v>6328</v>
      </c>
      <c r="G4744" t="str">
        <f>"00156642"</f>
        <v>00156642</v>
      </c>
      <c r="H4744" t="s">
        <v>5783</v>
      </c>
      <c r="I4744">
        <v>0</v>
      </c>
      <c r="J4744">
        <v>0</v>
      </c>
      <c r="K4744">
        <v>0</v>
      </c>
      <c r="L4744">
        <v>0</v>
      </c>
      <c r="M4744">
        <v>0</v>
      </c>
      <c r="N4744">
        <v>0</v>
      </c>
      <c r="O4744">
        <v>0</v>
      </c>
      <c r="P4744">
        <v>0</v>
      </c>
      <c r="Q4744">
        <v>0</v>
      </c>
      <c r="R4744">
        <v>0</v>
      </c>
      <c r="S4744">
        <v>0</v>
      </c>
      <c r="T4744">
        <v>0</v>
      </c>
      <c r="V4744">
        <v>2</v>
      </c>
      <c r="W4744" t="s">
        <v>5783</v>
      </c>
    </row>
    <row r="4745" spans="1:23" x14ac:dyDescent="0.25">
      <c r="H4745">
        <v>703</v>
      </c>
    </row>
    <row r="4746" spans="1:23" x14ac:dyDescent="0.25">
      <c r="A4746">
        <v>2370</v>
      </c>
      <c r="B4746">
        <v>2615</v>
      </c>
      <c r="C4746" t="s">
        <v>6329</v>
      </c>
      <c r="D4746" t="s">
        <v>1684</v>
      </c>
      <c r="E4746" t="s">
        <v>6330</v>
      </c>
      <c r="F4746" t="s">
        <v>6331</v>
      </c>
      <c r="G4746" t="str">
        <f>"201303000363"</f>
        <v>201303000363</v>
      </c>
      <c r="H4746">
        <v>517</v>
      </c>
      <c r="I4746">
        <v>0</v>
      </c>
      <c r="J4746">
        <v>30</v>
      </c>
      <c r="K4746">
        <v>0</v>
      </c>
      <c r="L4746">
        <v>0</v>
      </c>
      <c r="M4746">
        <v>0</v>
      </c>
      <c r="N4746">
        <v>0</v>
      </c>
      <c r="O4746">
        <v>0</v>
      </c>
      <c r="P4746">
        <v>0</v>
      </c>
      <c r="Q4746">
        <v>0</v>
      </c>
      <c r="R4746">
        <v>7</v>
      </c>
      <c r="S4746">
        <v>49</v>
      </c>
      <c r="T4746">
        <v>0</v>
      </c>
      <c r="V4746">
        <v>0</v>
      </c>
      <c r="W4746">
        <v>596</v>
      </c>
    </row>
    <row r="4747" spans="1:23" x14ac:dyDescent="0.25">
      <c r="H4747">
        <v>703</v>
      </c>
    </row>
    <row r="4748" spans="1:23" x14ac:dyDescent="0.25">
      <c r="A4748">
        <v>2371</v>
      </c>
      <c r="B4748">
        <v>1761</v>
      </c>
      <c r="C4748" t="s">
        <v>2232</v>
      </c>
      <c r="D4748" t="s">
        <v>40</v>
      </c>
      <c r="E4748" t="s">
        <v>47</v>
      </c>
      <c r="F4748" t="s">
        <v>6332</v>
      </c>
      <c r="G4748" t="str">
        <f>"201504000829"</f>
        <v>201504000829</v>
      </c>
      <c r="H4748" t="s">
        <v>6333</v>
      </c>
      <c r="I4748">
        <v>0</v>
      </c>
      <c r="J4748">
        <v>0</v>
      </c>
      <c r="K4748">
        <v>0</v>
      </c>
      <c r="L4748">
        <v>0</v>
      </c>
      <c r="M4748">
        <v>0</v>
      </c>
      <c r="N4748">
        <v>0</v>
      </c>
      <c r="O4748">
        <v>0</v>
      </c>
      <c r="P4748">
        <v>0</v>
      </c>
      <c r="Q4748">
        <v>0</v>
      </c>
      <c r="R4748">
        <v>15</v>
      </c>
      <c r="S4748">
        <v>105</v>
      </c>
      <c r="T4748">
        <v>0</v>
      </c>
      <c r="V4748">
        <v>0</v>
      </c>
      <c r="W4748" t="s">
        <v>6334</v>
      </c>
    </row>
    <row r="4749" spans="1:23" x14ac:dyDescent="0.25">
      <c r="H4749">
        <v>703</v>
      </c>
    </row>
    <row r="4750" spans="1:23" x14ac:dyDescent="0.25">
      <c r="A4750">
        <v>2372</v>
      </c>
      <c r="B4750">
        <v>65</v>
      </c>
      <c r="C4750" t="s">
        <v>6335</v>
      </c>
      <c r="D4750" t="s">
        <v>40</v>
      </c>
      <c r="E4750" t="s">
        <v>109</v>
      </c>
      <c r="F4750" t="s">
        <v>6336</v>
      </c>
      <c r="G4750" t="str">
        <f>"00230023"</f>
        <v>00230023</v>
      </c>
      <c r="H4750">
        <v>550</v>
      </c>
      <c r="I4750">
        <v>0</v>
      </c>
      <c r="J4750">
        <v>0</v>
      </c>
      <c r="K4750">
        <v>0</v>
      </c>
      <c r="L4750">
        <v>0</v>
      </c>
      <c r="M4750">
        <v>0</v>
      </c>
      <c r="N4750">
        <v>0</v>
      </c>
      <c r="O4750">
        <v>0</v>
      </c>
      <c r="P4750">
        <v>0</v>
      </c>
      <c r="Q4750">
        <v>0</v>
      </c>
      <c r="R4750">
        <v>6</v>
      </c>
      <c r="S4750">
        <v>42</v>
      </c>
      <c r="T4750">
        <v>0</v>
      </c>
      <c r="V4750">
        <v>0</v>
      </c>
      <c r="W4750">
        <v>592</v>
      </c>
    </row>
    <row r="4751" spans="1:23" x14ac:dyDescent="0.25">
      <c r="H4751">
        <v>703</v>
      </c>
    </row>
    <row r="4752" spans="1:23" x14ac:dyDescent="0.25">
      <c r="A4752">
        <v>2373</v>
      </c>
      <c r="B4752">
        <v>880</v>
      </c>
      <c r="C4752" t="s">
        <v>6337</v>
      </c>
      <c r="D4752" t="s">
        <v>6338</v>
      </c>
      <c r="E4752" t="s">
        <v>15</v>
      </c>
      <c r="F4752" t="s">
        <v>6339</v>
      </c>
      <c r="G4752" t="str">
        <f>"00228169"</f>
        <v>00228169</v>
      </c>
      <c r="H4752">
        <v>550</v>
      </c>
      <c r="I4752">
        <v>0</v>
      </c>
      <c r="J4752">
        <v>30</v>
      </c>
      <c r="K4752">
        <v>0</v>
      </c>
      <c r="L4752">
        <v>0</v>
      </c>
      <c r="M4752">
        <v>0</v>
      </c>
      <c r="N4752">
        <v>0</v>
      </c>
      <c r="O4752">
        <v>0</v>
      </c>
      <c r="P4752">
        <v>0</v>
      </c>
      <c r="Q4752">
        <v>0</v>
      </c>
      <c r="R4752">
        <v>0</v>
      </c>
      <c r="S4752">
        <v>0</v>
      </c>
      <c r="T4752">
        <v>0</v>
      </c>
      <c r="V4752">
        <v>0</v>
      </c>
      <c r="W4752">
        <v>580</v>
      </c>
    </row>
    <row r="4753" spans="1:23" x14ac:dyDescent="0.25">
      <c r="H4753" t="s">
        <v>70</v>
      </c>
    </row>
    <row r="4754" spans="1:23" x14ac:dyDescent="0.25">
      <c r="A4754">
        <v>2374</v>
      </c>
      <c r="B4754">
        <v>2256</v>
      </c>
      <c r="C4754" t="s">
        <v>6340</v>
      </c>
      <c r="D4754" t="s">
        <v>28</v>
      </c>
      <c r="E4754" t="s">
        <v>105</v>
      </c>
      <c r="F4754" t="s">
        <v>6341</v>
      </c>
      <c r="G4754" t="str">
        <f>"201605000020"</f>
        <v>201605000020</v>
      </c>
      <c r="H4754" t="s">
        <v>6342</v>
      </c>
      <c r="I4754">
        <v>0</v>
      </c>
      <c r="J4754">
        <v>0</v>
      </c>
      <c r="K4754">
        <v>0</v>
      </c>
      <c r="L4754">
        <v>0</v>
      </c>
      <c r="M4754">
        <v>0</v>
      </c>
      <c r="N4754">
        <v>0</v>
      </c>
      <c r="O4754">
        <v>0</v>
      </c>
      <c r="P4754">
        <v>0</v>
      </c>
      <c r="Q4754">
        <v>0</v>
      </c>
      <c r="R4754">
        <v>4</v>
      </c>
      <c r="S4754">
        <v>28</v>
      </c>
      <c r="T4754">
        <v>0</v>
      </c>
      <c r="V4754">
        <v>0</v>
      </c>
      <c r="W4754" t="s">
        <v>6343</v>
      </c>
    </row>
    <row r="4755" spans="1:23" x14ac:dyDescent="0.25">
      <c r="H4755">
        <v>703</v>
      </c>
    </row>
    <row r="4756" spans="1:23" x14ac:dyDescent="0.25">
      <c r="A4756">
        <v>2375</v>
      </c>
      <c r="B4756">
        <v>2161</v>
      </c>
      <c r="C4756" t="s">
        <v>6344</v>
      </c>
      <c r="D4756" t="s">
        <v>722</v>
      </c>
      <c r="E4756" t="s">
        <v>109</v>
      </c>
      <c r="F4756" t="s">
        <v>6345</v>
      </c>
      <c r="G4756" t="str">
        <f>"00148692"</f>
        <v>00148692</v>
      </c>
      <c r="H4756" t="s">
        <v>6346</v>
      </c>
      <c r="I4756">
        <v>0</v>
      </c>
      <c r="J4756">
        <v>0</v>
      </c>
      <c r="K4756">
        <v>0</v>
      </c>
      <c r="L4756">
        <v>0</v>
      </c>
      <c r="M4756">
        <v>0</v>
      </c>
      <c r="N4756">
        <v>0</v>
      </c>
      <c r="O4756">
        <v>0</v>
      </c>
      <c r="P4756">
        <v>0</v>
      </c>
      <c r="Q4756">
        <v>0</v>
      </c>
      <c r="R4756">
        <v>0</v>
      </c>
      <c r="S4756">
        <v>0</v>
      </c>
      <c r="T4756">
        <v>0</v>
      </c>
      <c r="V4756">
        <v>1</v>
      </c>
      <c r="W4756" t="s">
        <v>6346</v>
      </c>
    </row>
    <row r="4757" spans="1:23" x14ac:dyDescent="0.25">
      <c r="H4757">
        <v>703</v>
      </c>
    </row>
    <row r="4758" spans="1:23" x14ac:dyDescent="0.25">
      <c r="A4758">
        <v>2376</v>
      </c>
      <c r="B4758">
        <v>288</v>
      </c>
      <c r="C4758" t="s">
        <v>6347</v>
      </c>
      <c r="D4758" t="s">
        <v>185</v>
      </c>
      <c r="E4758" t="s">
        <v>752</v>
      </c>
      <c r="F4758" t="s">
        <v>6348</v>
      </c>
      <c r="G4758" t="str">
        <f>"201511006273"</f>
        <v>201511006273</v>
      </c>
      <c r="H4758">
        <v>561</v>
      </c>
      <c r="I4758">
        <v>0</v>
      </c>
      <c r="J4758">
        <v>0</v>
      </c>
      <c r="K4758">
        <v>0</v>
      </c>
      <c r="L4758">
        <v>0</v>
      </c>
      <c r="M4758">
        <v>0</v>
      </c>
      <c r="N4758">
        <v>0</v>
      </c>
      <c r="O4758">
        <v>0</v>
      </c>
      <c r="P4758">
        <v>0</v>
      </c>
      <c r="Q4758">
        <v>0</v>
      </c>
      <c r="R4758">
        <v>0</v>
      </c>
      <c r="S4758">
        <v>0</v>
      </c>
      <c r="T4758">
        <v>0</v>
      </c>
      <c r="V4758">
        <v>0</v>
      </c>
      <c r="W4758">
        <v>561</v>
      </c>
    </row>
    <row r="4759" spans="1:23" x14ac:dyDescent="0.25">
      <c r="H4759" t="s">
        <v>587</v>
      </c>
    </row>
    <row r="4760" spans="1:23" x14ac:dyDescent="0.25">
      <c r="A4760">
        <v>2377</v>
      </c>
      <c r="B4760">
        <v>2046</v>
      </c>
      <c r="C4760" t="s">
        <v>6349</v>
      </c>
      <c r="D4760" t="s">
        <v>325</v>
      </c>
      <c r="E4760" t="s">
        <v>62</v>
      </c>
      <c r="F4760" t="s">
        <v>6350</v>
      </c>
      <c r="G4760" t="str">
        <f>"00210515"</f>
        <v>00210515</v>
      </c>
      <c r="H4760">
        <v>550</v>
      </c>
      <c r="I4760">
        <v>0</v>
      </c>
      <c r="J4760">
        <v>0</v>
      </c>
      <c r="K4760">
        <v>0</v>
      </c>
      <c r="L4760">
        <v>0</v>
      </c>
      <c r="M4760">
        <v>0</v>
      </c>
      <c r="N4760">
        <v>0</v>
      </c>
      <c r="O4760">
        <v>0</v>
      </c>
      <c r="P4760">
        <v>0</v>
      </c>
      <c r="Q4760">
        <v>0</v>
      </c>
      <c r="R4760">
        <v>0</v>
      </c>
      <c r="S4760">
        <v>0</v>
      </c>
      <c r="T4760">
        <v>0</v>
      </c>
      <c r="V4760">
        <v>0</v>
      </c>
      <c r="W4760">
        <v>550</v>
      </c>
    </row>
    <row r="4761" spans="1:23" x14ac:dyDescent="0.25">
      <c r="H4761" t="s">
        <v>70</v>
      </c>
    </row>
    <row r="4762" spans="1:23" x14ac:dyDescent="0.25">
      <c r="A4762">
        <v>2378</v>
      </c>
      <c r="B4762">
        <v>2658</v>
      </c>
      <c r="C4762" t="s">
        <v>6351</v>
      </c>
      <c r="D4762" t="s">
        <v>2397</v>
      </c>
      <c r="E4762" t="s">
        <v>58</v>
      </c>
      <c r="F4762" t="s">
        <v>6352</v>
      </c>
      <c r="G4762" t="str">
        <f>"00144747"</f>
        <v>00144747</v>
      </c>
      <c r="H4762">
        <v>550</v>
      </c>
      <c r="I4762">
        <v>0</v>
      </c>
      <c r="J4762">
        <v>0</v>
      </c>
      <c r="K4762">
        <v>0</v>
      </c>
      <c r="L4762">
        <v>0</v>
      </c>
      <c r="M4762">
        <v>0</v>
      </c>
      <c r="N4762">
        <v>0</v>
      </c>
      <c r="O4762">
        <v>0</v>
      </c>
      <c r="P4762">
        <v>0</v>
      </c>
      <c r="Q4762">
        <v>0</v>
      </c>
      <c r="R4762">
        <v>0</v>
      </c>
      <c r="S4762">
        <v>0</v>
      </c>
      <c r="T4762">
        <v>0</v>
      </c>
      <c r="V4762">
        <v>0</v>
      </c>
      <c r="W4762">
        <v>550</v>
      </c>
    </row>
    <row r="4763" spans="1:23" x14ac:dyDescent="0.25">
      <c r="H4763">
        <v>703</v>
      </c>
    </row>
    <row r="4764" spans="1:23" x14ac:dyDescent="0.25">
      <c r="A4764">
        <v>2379</v>
      </c>
      <c r="B4764">
        <v>1234</v>
      </c>
      <c r="C4764" t="s">
        <v>2100</v>
      </c>
      <c r="D4764" t="s">
        <v>32</v>
      </c>
      <c r="E4764" t="s">
        <v>41</v>
      </c>
      <c r="F4764" t="s">
        <v>6353</v>
      </c>
      <c r="G4764" t="str">
        <f>"00028027"</f>
        <v>00028027</v>
      </c>
      <c r="H4764">
        <v>495</v>
      </c>
      <c r="I4764">
        <v>0</v>
      </c>
      <c r="J4764">
        <v>30</v>
      </c>
      <c r="K4764">
        <v>0</v>
      </c>
      <c r="L4764">
        <v>0</v>
      </c>
      <c r="M4764">
        <v>0</v>
      </c>
      <c r="N4764">
        <v>0</v>
      </c>
      <c r="O4764">
        <v>0</v>
      </c>
      <c r="P4764">
        <v>0</v>
      </c>
      <c r="Q4764">
        <v>0</v>
      </c>
      <c r="R4764">
        <v>0</v>
      </c>
      <c r="S4764">
        <v>0</v>
      </c>
      <c r="T4764">
        <v>0</v>
      </c>
      <c r="V4764">
        <v>0</v>
      </c>
      <c r="W4764">
        <v>525</v>
      </c>
    </row>
    <row r="4765" spans="1:23" x14ac:dyDescent="0.25">
      <c r="H4765">
        <v>703</v>
      </c>
    </row>
    <row r="4766" spans="1:23" x14ac:dyDescent="0.25">
      <c r="A4766">
        <v>2380</v>
      </c>
      <c r="B4766">
        <v>1711</v>
      </c>
      <c r="C4766" t="s">
        <v>6354</v>
      </c>
      <c r="D4766" t="s">
        <v>28</v>
      </c>
      <c r="E4766" t="s">
        <v>654</v>
      </c>
      <c r="F4766" t="s">
        <v>6355</v>
      </c>
      <c r="G4766" t="str">
        <f>"201410002427"</f>
        <v>201410002427</v>
      </c>
      <c r="H4766">
        <v>440</v>
      </c>
      <c r="I4766">
        <v>0</v>
      </c>
      <c r="J4766">
        <v>30</v>
      </c>
      <c r="K4766">
        <v>0</v>
      </c>
      <c r="L4766">
        <v>0</v>
      </c>
      <c r="M4766">
        <v>0</v>
      </c>
      <c r="N4766">
        <v>0</v>
      </c>
      <c r="O4766">
        <v>0</v>
      </c>
      <c r="P4766">
        <v>0</v>
      </c>
      <c r="Q4766">
        <v>0</v>
      </c>
      <c r="R4766">
        <v>0</v>
      </c>
      <c r="S4766">
        <v>0</v>
      </c>
      <c r="T4766">
        <v>0</v>
      </c>
      <c r="V4766">
        <v>0</v>
      </c>
      <c r="W4766">
        <v>470</v>
      </c>
    </row>
    <row r="4767" spans="1:23" x14ac:dyDescent="0.25">
      <c r="H4767">
        <v>703</v>
      </c>
    </row>
    <row r="4769" spans="1:1" x14ac:dyDescent="0.25">
      <c r="A4769" t="s">
        <v>6356</v>
      </c>
    </row>
    <row r="4770" spans="1:1" x14ac:dyDescent="0.25">
      <c r="A4770" t="s">
        <v>6357</v>
      </c>
    </row>
    <row r="4771" spans="1:1" x14ac:dyDescent="0.25">
      <c r="A4771" t="s">
        <v>6358</v>
      </c>
    </row>
    <row r="4772" spans="1:1" x14ac:dyDescent="0.25">
      <c r="A4772" t="s">
        <v>6359</v>
      </c>
    </row>
    <row r="4773" spans="1:1" x14ac:dyDescent="0.25">
      <c r="A4773" t="s">
        <v>6360</v>
      </c>
    </row>
    <row r="4774" spans="1:1" x14ac:dyDescent="0.25">
      <c r="A4774" t="s">
        <v>6361</v>
      </c>
    </row>
    <row r="4775" spans="1:1" x14ac:dyDescent="0.25">
      <c r="A4775" t="s">
        <v>6362</v>
      </c>
    </row>
    <row r="4776" spans="1:1" x14ac:dyDescent="0.25">
      <c r="A4776" t="s">
        <v>6363</v>
      </c>
    </row>
    <row r="4777" spans="1:1" x14ac:dyDescent="0.25">
      <c r="A4777" t="s">
        <v>6364</v>
      </c>
    </row>
    <row r="4778" spans="1:1" x14ac:dyDescent="0.25">
      <c r="A4778" t="s">
        <v>6365</v>
      </c>
    </row>
    <row r="4779" spans="1:1" x14ac:dyDescent="0.25">
      <c r="A4779" t="s">
        <v>6366</v>
      </c>
    </row>
    <row r="4780" spans="1:1" x14ac:dyDescent="0.25">
      <c r="A4780" t="s">
        <v>6367</v>
      </c>
    </row>
    <row r="4781" spans="1:1" x14ac:dyDescent="0.25">
      <c r="A4781" t="s">
        <v>6368</v>
      </c>
    </row>
    <row r="4782" spans="1:1" x14ac:dyDescent="0.25">
      <c r="A4782" t="s">
        <v>6369</v>
      </c>
    </row>
    <row r="4783" spans="1:1" x14ac:dyDescent="0.25">
      <c r="A4783" t="s">
        <v>6370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2018-10-02T09:42:46Z</dcterms:created>
  <dcterms:modified xsi:type="dcterms:W3CDTF">2018-10-02T09:42:58Z</dcterms:modified>
</cp:coreProperties>
</file>