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152" i="1" l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<sst xmlns="http://schemas.openxmlformats.org/spreadsheetml/2006/main" count="7082" uniqueCount="4142">
  <si>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</si>
  <si>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</si>
  <si>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</si>
  <si>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</si>
  <si>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ΠΟΛΙΤΙΚΩΝ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</si>
  <si>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</si>
  <si>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</si>
  <si>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</si>
  <si>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</si>
  <si>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</si>
  <si>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</si>
  <si>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</si>
  <si>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</si>
  <si>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ΜΠΕΚΡΗ</t>
  </si>
  <si>
    <t>ΕΛΕΝΗ</t>
  </si>
  <si>
    <t>ΣΠΥΡΙΔΩΝ</t>
  </si>
  <si>
    <t>ΑΒ993760</t>
  </si>
  <si>
    <t>773,3</t>
  </si>
  <si>
    <t>2451,3</t>
  </si>
  <si>
    <t>1070-1086-1072-1071-1089-1085-1069-1088-1082-1083-1078-1073-1081-1079-1090-1091-1092-1074-1075-1076-1077-1084-1087</t>
  </si>
  <si>
    <t>ΚΑΣΙΤΕΡΟΠΟΥΛΟΥ</t>
  </si>
  <si>
    <t>ΔΩΡΟΘΕΑ</t>
  </si>
  <si>
    <t>ΣΩΚΡΑΤΗΣ</t>
  </si>
  <si>
    <t>ΑΕ451025</t>
  </si>
  <si>
    <t>906,4</t>
  </si>
  <si>
    <t>2424,4</t>
  </si>
  <si>
    <t>1069-1085-1078-1089-1081-1073-1072-1079-1070-1086-1074-1075-1076-1077-1087-1090</t>
  </si>
  <si>
    <t>ΧΟΥΛΗ</t>
  </si>
  <si>
    <t>ΙΩΑΝΝΗΣ</t>
  </si>
  <si>
    <t>ΑΕ011715</t>
  </si>
  <si>
    <t>840,4</t>
  </si>
  <si>
    <t>2408,4</t>
  </si>
  <si>
    <t>1072-1071</t>
  </si>
  <si>
    <t>ΠΑΠΑΔΙΩΤΗ</t>
  </si>
  <si>
    <t>ΙΩΑΝΝΑ</t>
  </si>
  <si>
    <t>ΠΑΝΑΓΙΩΤΗΣ</t>
  </si>
  <si>
    <t>ΑΒ106496</t>
  </si>
  <si>
    <t>997,7</t>
  </si>
  <si>
    <t>2392,7</t>
  </si>
  <si>
    <t>1085-1088-1082</t>
  </si>
  <si>
    <t>ΤΑΣΚΑΡΗ</t>
  </si>
  <si>
    <t>ΟΛΥΜΠΙΑ</t>
  </si>
  <si>
    <t>ΝΙΚΟΛΑΟΣ</t>
  </si>
  <si>
    <t>ΑΗ172470</t>
  </si>
  <si>
    <t>881,1</t>
  </si>
  <si>
    <t>2379,1</t>
  </si>
  <si>
    <t>1078-1081-1073</t>
  </si>
  <si>
    <t>ΚΑΡΑΤΖΕΤΖΟΥ</t>
  </si>
  <si>
    <t>ΑΝΝΑ</t>
  </si>
  <si>
    <t>ΧΑΡΙΣΙΟΣ</t>
  </si>
  <si>
    <t>Τ372746</t>
  </si>
  <si>
    <t>ΜΙΣΟΚΕΦΑΛΟΥ</t>
  </si>
  <si>
    <t>ΠΑΝΤΕΛΗΣ</t>
  </si>
  <si>
    <t>ΑΚ560599</t>
  </si>
  <si>
    <t>786,5</t>
  </si>
  <si>
    <t>2374,5</t>
  </si>
  <si>
    <t>1072-1071-1005-1078-1089-1073-1080-1085-1091-1090-1074-1075-1076-1077-1087-1086-1082-1083-1079-1084-1081-1088-1069-1070</t>
  </si>
  <si>
    <t>ΦΩΤΟΠΟΥΛΟΥ</t>
  </si>
  <si>
    <t>ΣΤΑΥΡΟΥΛΑ</t>
  </si>
  <si>
    <t>ΔΗΜΗΤΡΙΟΣ</t>
  </si>
  <si>
    <t>ΑΖ641778</t>
  </si>
  <si>
    <t>819,5</t>
  </si>
  <si>
    <t>2347,5</t>
  </si>
  <si>
    <t>1078-1080-1073</t>
  </si>
  <si>
    <t>ΛΟΥΠΑΣΑΚΗ</t>
  </si>
  <si>
    <t>ΕΛΕΥΘΕΡΙΑ</t>
  </si>
  <si>
    <t>ΕΜΜΑΝΟΥΗΛ</t>
  </si>
  <si>
    <t>ΑΕ471140</t>
  </si>
  <si>
    <t>856,9</t>
  </si>
  <si>
    <t>2314,9</t>
  </si>
  <si>
    <t>1090-1087</t>
  </si>
  <si>
    <t>ΦΟΥΡΝΙΩΤΗΣ</t>
  </si>
  <si>
    <t>ΘΕΟΦΑΝΗΣ</t>
  </si>
  <si>
    <t>ΑΜ623136</t>
  </si>
  <si>
    <t>779,9</t>
  </si>
  <si>
    <t>2237,9</t>
  </si>
  <si>
    <t>ΠΑΠΑΕΥΘΥΜΙΟΥ</t>
  </si>
  <si>
    <t>ΚΩΝΣΤΑΝΤΙΝΟΣ</t>
  </si>
  <si>
    <t>Ρ153945</t>
  </si>
  <si>
    <t>784,3</t>
  </si>
  <si>
    <t>2202,3</t>
  </si>
  <si>
    <t>ΜΑΡΙΝΕΛΛΗ</t>
  </si>
  <si>
    <t>ΜΑΡΙΝΑ</t>
  </si>
  <si>
    <t>ΚΥΡΙΑΚΟΣ</t>
  </si>
  <si>
    <t>ΑΚ681412</t>
  </si>
  <si>
    <t>886,6</t>
  </si>
  <si>
    <t>2194,6</t>
  </si>
  <si>
    <t>1075-1074-1076-1091</t>
  </si>
  <si>
    <t>ΣΑΒΒΙΛΩΤΙΔΟΥ</t>
  </si>
  <si>
    <t>ΜΑΡΙΑ</t>
  </si>
  <si>
    <t>ΚΟΣΜΑΣ</t>
  </si>
  <si>
    <t>Χ392778</t>
  </si>
  <si>
    <t>885,5</t>
  </si>
  <si>
    <t>2193,5</t>
  </si>
  <si>
    <t>1078-1085-1083-1073-1088-1069-1081-1072-1086-1091-1079</t>
  </si>
  <si>
    <t>ΖΟΡΜΠΑ</t>
  </si>
  <si>
    <t>ΤΡΙΑΔΑ</t>
  </si>
  <si>
    <t>ΑΜ818577</t>
  </si>
  <si>
    <t>883,3</t>
  </si>
  <si>
    <t>2191,3</t>
  </si>
  <si>
    <t>1083-1069-1088-1082-1085-1089-1078-1073-1081-1071-1079-1072-1076-1077-1091-1087-1075-1086</t>
  </si>
  <si>
    <t>ΜΑΝΙΑΤΑΚΗΣ</t>
  </si>
  <si>
    <t>ΧΑΡΙΛΑΟΣ</t>
  </si>
  <si>
    <t>ΑΝΤΩΝΙΟΣ</t>
  </si>
  <si>
    <t>Ρ996038</t>
  </si>
  <si>
    <t>1076-1075-1074-1077-1087-1091-1092-1090</t>
  </si>
  <si>
    <t>ΑΡΝΑΟΥΤΗ</t>
  </si>
  <si>
    <t>ΣΤΕΛΛΑ</t>
  </si>
  <si>
    <t>ΑΝΑΣΤΑΣΙΟΣ</t>
  </si>
  <si>
    <t>AH670485</t>
  </si>
  <si>
    <t>837,1</t>
  </si>
  <si>
    <t>2185,1</t>
  </si>
  <si>
    <t>2184,4</t>
  </si>
  <si>
    <t>ΧΟΥΜΑΝΙΔΗΣ</t>
  </si>
  <si>
    <t>ΑΒ242547</t>
  </si>
  <si>
    <t>826,1</t>
  </si>
  <si>
    <t>2174,1</t>
  </si>
  <si>
    <t>1072-1071-1089-1079-1088</t>
  </si>
  <si>
    <t>ΝΤΟΥΡΑΚΟΠΟΥΛΟΣ</t>
  </si>
  <si>
    <t>ΑΝΔΡΕΑΣ</t>
  </si>
  <si>
    <t>ΑΜ625587</t>
  </si>
  <si>
    <t>942,7</t>
  </si>
  <si>
    <t>2160,7</t>
  </si>
  <si>
    <t>1078-1074-1075-1076-1072-1086-1087-1089</t>
  </si>
  <si>
    <t>ΤΕΓΟΥ</t>
  </si>
  <si>
    <t>ΣΕΒΑΣΤΗ</t>
  </si>
  <si>
    <t>ΑΖ815807</t>
  </si>
  <si>
    <t>1079-1073-1078-1080-1075-1085-1082-1083-1089-1072-1070-1081-1076-1077-1069-1086-1087-1074-1090</t>
  </si>
  <si>
    <t>ΒΑΖΟΥΡΑΣ</t>
  </si>
  <si>
    <t>ΠΟΛΥΝΙΚΗΣ</t>
  </si>
  <si>
    <t>ΑΙ857651</t>
  </si>
  <si>
    <t>900,9</t>
  </si>
  <si>
    <t>2158,9</t>
  </si>
  <si>
    <t>1085-1078-1088-1089-1082-1069-1083-1072-1079-1071-1091-1087-1005</t>
  </si>
  <si>
    <t>ΠΑΠΑΒΑΣΙΛΕΙΟΥ</t>
  </si>
  <si>
    <t>ΓΕΩΡΓΙΟΣ</t>
  </si>
  <si>
    <t>ΣΩΤΗΡΙΟΣ</t>
  </si>
  <si>
    <t>ΑΝ268718</t>
  </si>
  <si>
    <t>807,4</t>
  </si>
  <si>
    <t>2155,4</t>
  </si>
  <si>
    <t>1072-1071-1089-1082-1083-1085-1088-1069-1086-1078-1073-1081-1079-1074-1075-1076-1077-1091-1087-1005</t>
  </si>
  <si>
    <t>ΕΛΕΥΘΕΡΙΑΔΟΥ</t>
  </si>
  <si>
    <t>ΑΝΑΣΤΑΣΙΑ</t>
  </si>
  <si>
    <t>ΑΕ912539</t>
  </si>
  <si>
    <t>811,8</t>
  </si>
  <si>
    <t>2149,8</t>
  </si>
  <si>
    <t>ΒΟΥΛΓΑΡΗ</t>
  </si>
  <si>
    <t>ΧΡΥΣΟΥΛΑ</t>
  </si>
  <si>
    <t>ΑΘΑΝΑΣΙΟΣ</t>
  </si>
  <si>
    <t>ΑΖ187218</t>
  </si>
  <si>
    <t>1086-1072-1078-1089-1071-1085</t>
  </si>
  <si>
    <t>ΚΑΤΗΡΤΖΙΔΟΥ</t>
  </si>
  <si>
    <t>ΜΑΡΓΑΡΙΤΑ</t>
  </si>
  <si>
    <t>ΑΖ895290</t>
  </si>
  <si>
    <t>893,2</t>
  </si>
  <si>
    <t>2131,2</t>
  </si>
  <si>
    <t>ΠΑΝΤΟΥΣΑ</t>
  </si>
  <si>
    <t>ΔΑΦΝΗ</t>
  </si>
  <si>
    <t>ΘΩΜΑΣ</t>
  </si>
  <si>
    <t>ΑΗ277200</t>
  </si>
  <si>
    <t>823,9</t>
  </si>
  <si>
    <t>2121,9</t>
  </si>
  <si>
    <t>1078-1073-1079-1083</t>
  </si>
  <si>
    <t>ΔΟΥΓΚΑ</t>
  </si>
  <si>
    <t>ΓΕΩΡΓΙΑ</t>
  </si>
  <si>
    <t>ΑΗ580630</t>
  </si>
  <si>
    <t>828,3</t>
  </si>
  <si>
    <t>2116,3</t>
  </si>
  <si>
    <t>1071-1072-1005</t>
  </si>
  <si>
    <t>ΖΑΧΑΡΕΝΑΚΗ</t>
  </si>
  <si>
    <t>ΑΘΑΝΑΣΙΑ</t>
  </si>
  <si>
    <t>ΑΒ958845</t>
  </si>
  <si>
    <t>1075-1076-1074-1077-1087-1091-1090-1092</t>
  </si>
  <si>
    <t>ΠΑΡΔΑΛΟΠΟΥΛΟΣ</t>
  </si>
  <si>
    <t>ΣΤΥΛΙΑΝΟΣ</t>
  </si>
  <si>
    <t>ΑΖ172659</t>
  </si>
  <si>
    <t>795,3</t>
  </si>
  <si>
    <t>2113,3</t>
  </si>
  <si>
    <t>1078-1073-1083-1085-1069-1088-1082-1080-1079-1089-1072-1071-1081-1086-1091-1075-1077-1087-1076-1074-1084</t>
  </si>
  <si>
    <t>ΚΑΡΑΜΕΤΟΣ</t>
  </si>
  <si>
    <t>ΑΙ854390</t>
  </si>
  <si>
    <t>ΠΑΠΑΔΑ</t>
  </si>
  <si>
    <t>ΛΕΥΚΟΘΕΑ</t>
  </si>
  <si>
    <t>ΑΙ185335</t>
  </si>
  <si>
    <t>796,4</t>
  </si>
  <si>
    <t>2104,4</t>
  </si>
  <si>
    <t>1078-1085-1083-1082-1088-1069</t>
  </si>
  <si>
    <t>ΨΑΡΡΑΣ</t>
  </si>
  <si>
    <t>ΘΕΟΧΑΡΗΣ</t>
  </si>
  <si>
    <t>Τ820435</t>
  </si>
  <si>
    <t>833,8</t>
  </si>
  <si>
    <t>2101,8</t>
  </si>
  <si>
    <t>ΛΗΜΝΙΟΣ</t>
  </si>
  <si>
    <t>ΛΕΩΝΙΔΑΣ</t>
  </si>
  <si>
    <t>Φ477604</t>
  </si>
  <si>
    <t>1085-1088</t>
  </si>
  <si>
    <t>ΚΩΤΣΙΚΑΣ</t>
  </si>
  <si>
    <t>ΛΑΖΑΡΟΣ</t>
  </si>
  <si>
    <t>AI328714</t>
  </si>
  <si>
    <t>787,6</t>
  </si>
  <si>
    <t>2085,6</t>
  </si>
  <si>
    <t>1081-1088-1069-1073-1083-1085-1082-1078-1080-1086</t>
  </si>
  <si>
    <t>ΜΠΑΤΙΛΑΣ</t>
  </si>
  <si>
    <t>ΒΑΣΙΛΕΙΟΣ</t>
  </si>
  <si>
    <t>ΑΜ732703</t>
  </si>
  <si>
    <t>866,8</t>
  </si>
  <si>
    <t>2084,8</t>
  </si>
  <si>
    <t>1070-1081-1073-1085-1078-1086-1069</t>
  </si>
  <si>
    <t>ΚΑΤΣΑΝΟΥ</t>
  </si>
  <si>
    <t>ΑΖ979014</t>
  </si>
  <si>
    <t>2084,1</t>
  </si>
  <si>
    <t>1072-1089-1078-1085-1071-1005-1086-1088-1069-1082-1083-1091-1092-1090-1087-1076-1074-1075-1077-1079-1070-1073-1081-1080-1084</t>
  </si>
  <si>
    <t>ΓΕΩΡΓΙΑΔΗ ΣΤΕΦΑΝΙΔΗ</t>
  </si>
  <si>
    <t>ΚΥΡΙΑΚΗ</t>
  </si>
  <si>
    <t>ΑΖ777915</t>
  </si>
  <si>
    <t>817,3</t>
  </si>
  <si>
    <t>2075,3</t>
  </si>
  <si>
    <t>1085-1082</t>
  </si>
  <si>
    <t>2074,9</t>
  </si>
  <si>
    <t>ΣΙΔΗΡΟΠΟΥΛΟΣ</t>
  </si>
  <si>
    <t>ΑΕ851381</t>
  </si>
  <si>
    <t>816,2</t>
  </si>
  <si>
    <t>2074,2</t>
  </si>
  <si>
    <t>1085-1082-1083-1073</t>
  </si>
  <si>
    <t>ΜΠΑΛΑΣΚΑΣ</t>
  </si>
  <si>
    <t>ΧΡΗΣΤΟΣ</t>
  </si>
  <si>
    <t>ΑΝ837807</t>
  </si>
  <si>
    <t>753,5</t>
  </si>
  <si>
    <t>2071,5</t>
  </si>
  <si>
    <t>1078-1088-1085-1073-1081-1069-1087-1083-1082-1079-1076-1080-1072-1071-1086-1091-1089-1075-1074-1077-1084-1070</t>
  </si>
  <si>
    <t>ΔΑΔΙΩΤΗ</t>
  </si>
  <si>
    <t>ΡΑΛΛΟΥ ΕΛΕΝΗ</t>
  </si>
  <si>
    <t>ΑΚ964324</t>
  </si>
  <si>
    <t>1083-1088-1069-1082-1085-1078-1073-1091-1087-1075-1076</t>
  </si>
  <si>
    <t>ΤΖΑΡΟΣ</t>
  </si>
  <si>
    <t>Χ894828</t>
  </si>
  <si>
    <t>1078-1085-1073-1079-1081-1088-1091-1087-1072-1083-1069-1074-1075-1076-1082-1089-1070</t>
  </si>
  <si>
    <t>ΓΑΒΑΝΑΣ</t>
  </si>
  <si>
    <t>ΑΚ875891</t>
  </si>
  <si>
    <t>774,4</t>
  </si>
  <si>
    <t>2062,4</t>
  </si>
  <si>
    <t>1078-1073-1079-1081-1082-1083-1085</t>
  </si>
  <si>
    <t>ΤΖΑΒΑΡΑ</t>
  </si>
  <si>
    <t>Ρ733751</t>
  </si>
  <si>
    <t>794,2</t>
  </si>
  <si>
    <t>2062,2</t>
  </si>
  <si>
    <t>ΚΑΖΑΝΤΖΗ</t>
  </si>
  <si>
    <t>ΑΝ234982</t>
  </si>
  <si>
    <t>797,5</t>
  </si>
  <si>
    <t>2055,5</t>
  </si>
  <si>
    <t>1078-1080</t>
  </si>
  <si>
    <t>ΓΚΙΟΥΡΚΑ</t>
  </si>
  <si>
    <t>ΠΑΡΑΣΚΕΥΗ</t>
  </si>
  <si>
    <t>ΠΑΥΛΟΣ</t>
  </si>
  <si>
    <t>ΑΕ814963</t>
  </si>
  <si>
    <t>654,5</t>
  </si>
  <si>
    <t>2052,5</t>
  </si>
  <si>
    <t>1079-1078-1081-1073-1080-1082-1083-1085-1086-1088</t>
  </si>
  <si>
    <t>ΤΣΙΟΜΠΑΝΟΣ</t>
  </si>
  <si>
    <t>ΑΖ801637</t>
  </si>
  <si>
    <t>929,5</t>
  </si>
  <si>
    <t>2047,5</t>
  </si>
  <si>
    <t>1081-1073-1078-1085-1069-1080-1079-1072-1089-1070-1086-1074-1075-1076-1077-1090-1087</t>
  </si>
  <si>
    <t>ΜΠΡΟΥΣΑΛΗ</t>
  </si>
  <si>
    <t>ΜΑΓΔΑΛΗΝΗ</t>
  </si>
  <si>
    <t>Χ791832</t>
  </si>
  <si>
    <t>1072-1071-1086-1089-1085-1088-1070-1069-1090-1091-1087-1078-1074-1075-1076-1077-1082-1083-1073-1079-1080-1081-1084</t>
  </si>
  <si>
    <t>ΚΑΜΑΡΗΣ</t>
  </si>
  <si>
    <t>ΑΗ710758</t>
  </si>
  <si>
    <t>2034,2</t>
  </si>
  <si>
    <t>1075-1076</t>
  </si>
  <si>
    <t>ΣΤΡΕΠΕΛΙΑΣ</t>
  </si>
  <si>
    <t>ΗΛΙΑΣ</t>
  </si>
  <si>
    <t>ΑΗ709444</t>
  </si>
  <si>
    <t>740,3</t>
  </si>
  <si>
    <t>2028,3</t>
  </si>
  <si>
    <t>1070-1086-1078-1072-1071-1085-1089-1082-1088-1069-1083-1091-1090-1087-1076-1075-1074-1077-1079-1073-1081</t>
  </si>
  <si>
    <t>ΑΝΑΓΝΩΣΤΟΠΟΥΛΟΥ</t>
  </si>
  <si>
    <t>ΑΝΘΟΥΛΑ</t>
  </si>
  <si>
    <t>ΑΕ625770</t>
  </si>
  <si>
    <t>2025,5</t>
  </si>
  <si>
    <t>1072-1071-1082-1088</t>
  </si>
  <si>
    <t>ΧΑΤΖΗΠΑΡΑΔΕΙΣΗ</t>
  </si>
  <si>
    <t>ΚΩΝΣΤΑΝΤΙΝΑ</t>
  </si>
  <si>
    <t>ΑΜ675524</t>
  </si>
  <si>
    <t>870,1</t>
  </si>
  <si>
    <t>2018,1</t>
  </si>
  <si>
    <t>ΠΑΝΤΑΖΟΠΟΥΛΟΣ</t>
  </si>
  <si>
    <t>ΑΖ207745</t>
  </si>
  <si>
    <t>755,7</t>
  </si>
  <si>
    <t>2013,7</t>
  </si>
  <si>
    <t>1078-1085-1072-1070-1086-1069-1079-1089-1073-1087-1090-1081</t>
  </si>
  <si>
    <t>ΔΗΜΟΠΟΥΛΟΥ</t>
  </si>
  <si>
    <t>ΑΙΚΑΤΕΡΙΝΗ</t>
  </si>
  <si>
    <t>ΑΠΟΣΤΟΛΟΣ</t>
  </si>
  <si>
    <t>Χ982536</t>
  </si>
  <si>
    <t>ΚΩΝΣΤΑΝΤΟΥΛΑ</t>
  </si>
  <si>
    <t>ΑΗ691988</t>
  </si>
  <si>
    <t>1071-1072-1074-1075-1076-1077-1078-1005</t>
  </si>
  <si>
    <t>ΝΙΤΑΔΩΡΑΚΗΣ</t>
  </si>
  <si>
    <t>ΕΥΑΓΓΕΛΟΣ</t>
  </si>
  <si>
    <t>Ρ320796</t>
  </si>
  <si>
    <t>815,1</t>
  </si>
  <si>
    <t>1993,1</t>
  </si>
  <si>
    <t>1074-1076</t>
  </si>
  <si>
    <t>ΚΑΤΣΑΒΕΛΗ</t>
  </si>
  <si>
    <t>ΕΛΙΣΑΒΕΤ</t>
  </si>
  <si>
    <t>ΔΡΟΣΟΣ</t>
  </si>
  <si>
    <t>ΑΙ876112</t>
  </si>
  <si>
    <t>1075-1077-1078-1076-1074-1091-1083-1088-1073-1081-1085-1079-1080-1087-1072-1086-1089-1071-1005-1069-1082-1084</t>
  </si>
  <si>
    <t>ΚΕΦΑΛΑ</t>
  </si>
  <si>
    <t>ΤΗΛΕΜΑΧΟΣ</t>
  </si>
  <si>
    <t>ΑΜ223553</t>
  </si>
  <si>
    <t>860,2</t>
  </si>
  <si>
    <t>1988,2</t>
  </si>
  <si>
    <t>1077-1086-1087-1074-1075-1076-1084-1072-1069-1088-1078-1091-1089-1071-1085-1082-1083-1079-1073-1081-1090-1092-1070-1080-1005</t>
  </si>
  <si>
    <t>ΜΠΛΟΥΤΣΟΣ</t>
  </si>
  <si>
    <t>ΑΡΙΣΤΕΙΔΗΣ</t>
  </si>
  <si>
    <t>Ρ054579</t>
  </si>
  <si>
    <t>767,8</t>
  </si>
  <si>
    <t>1985,8</t>
  </si>
  <si>
    <t>1072-1069-1078-1089-1085-1086-1073-1087-1090-1074-1075-1076-1077-1079-1081</t>
  </si>
  <si>
    <t>ΚΟΥΤΣΙΑΝΟΥ</t>
  </si>
  <si>
    <t>ΑΖ792295</t>
  </si>
  <si>
    <t>1984,2</t>
  </si>
  <si>
    <t>1081-1073-1069-1082-1080-1085-1089-1079-1072-1078</t>
  </si>
  <si>
    <t>ΚΑΛΟΓΗΡΟΥ</t>
  </si>
  <si>
    <t>ΧΡΙΣΤΙΝΑ</t>
  </si>
  <si>
    <t>ΑΒ809442</t>
  </si>
  <si>
    <t>772,2</t>
  </si>
  <si>
    <t>1980,2</t>
  </si>
  <si>
    <t>1081-1078-1088-1073-1085-1091-1075-1077-1076-1089-1072-1079-1069-1082-1083-1087-1086-1071-1080-1084-1074</t>
  </si>
  <si>
    <t>ΣΚΙΤΖΗ</t>
  </si>
  <si>
    <t>ΕΙΡΗΝΗ</t>
  </si>
  <si>
    <t>ΑΚ485374</t>
  </si>
  <si>
    <t>849,2</t>
  </si>
  <si>
    <t>1977,2</t>
  </si>
  <si>
    <t>1091-1092-1090</t>
  </si>
  <si>
    <t>ΠΑΤΣΙΑΣ</t>
  </si>
  <si>
    <t>Π960481</t>
  </si>
  <si>
    <t>1073-1078-1081-1085-1069-1089-1070-1071-1072-1074-1075-1076-1077-1079-1080-1086-1087-1090</t>
  </si>
  <si>
    <t>ΕΜΜΑΝΟΥΗΛΙΔΗΣ</t>
  </si>
  <si>
    <t>ΘΕΟΛΟΓΟΣ</t>
  </si>
  <si>
    <t>ΑΖ300189</t>
  </si>
  <si>
    <t>820,6</t>
  </si>
  <si>
    <t>1968,6</t>
  </si>
  <si>
    <t>1081-1088-1069-1078-1082-1083-1085-1073-1072-1079-1080-1071-1089-1086-1070-1090-1091-1092-1087-1074-1075-1076-1077-1084</t>
  </si>
  <si>
    <t>ΑΕ234447</t>
  </si>
  <si>
    <t>750,2</t>
  </si>
  <si>
    <t>1968,2</t>
  </si>
  <si>
    <t>1078-1086-1085-1072-1079-1076-1075-1074-1071-1077-1087-1089-1073-1069-1081</t>
  </si>
  <si>
    <t>ΧΑΤΖΗΧΑΡΑΛΑΜΠΟΥΣ</t>
  </si>
  <si>
    <t>ΣΤΑΥΡΟΣ</t>
  </si>
  <si>
    <t>Χ868905</t>
  </si>
  <si>
    <t>789,8</t>
  </si>
  <si>
    <t>1967,8</t>
  </si>
  <si>
    <t>ΠΛΙΤΣΗ</t>
  </si>
  <si>
    <t>ΔΗΜΗΤΡΑ</t>
  </si>
  <si>
    <t>ΑΗ577865</t>
  </si>
  <si>
    <t>778,8</t>
  </si>
  <si>
    <t>1966,8</t>
  </si>
  <si>
    <t>1083-1082-1085-1069-1088-1078-1089-1073-1081-1080-1079-1072-1071-1070-1086-1075-1087-1091-1092-1076-1077-1074-1090-1084</t>
  </si>
  <si>
    <t>ΚΕΧΑΓΙΑ</t>
  </si>
  <si>
    <t>ΑΓΓΕΛΟΣ</t>
  </si>
  <si>
    <t>ΑΑ412496</t>
  </si>
  <si>
    <t>963,6</t>
  </si>
  <si>
    <t>1965,6</t>
  </si>
  <si>
    <t>1081-1073-1078-1085-1082-1083-1091-1092-1076-1075-1074-1077-1087-1079-1088-1069-1084-1089-1086-1072-1071-1005-1070</t>
  </si>
  <si>
    <t>ΤΖΟΒΑΡΑΣ</t>
  </si>
  <si>
    <t>Χ423643</t>
  </si>
  <si>
    <t>1965,3</t>
  </si>
  <si>
    <t>1085-1078-1088-1090-1091-1087-1082-1083-1072</t>
  </si>
  <si>
    <t>ΝΕΝΤΟΥΔΗ</t>
  </si>
  <si>
    <t>ΒΑΣΙΛΙΚΗ</t>
  </si>
  <si>
    <t>ΑΕ641026</t>
  </si>
  <si>
    <t>754,6</t>
  </si>
  <si>
    <t>1962,6</t>
  </si>
  <si>
    <t>1078-1080-1073-1081-1079-1083-1082-1088-1069-1085-1091-1092-1090-1089-1070-1071-1077-1074-1076-1075-1087-1072-1086-1005</t>
  </si>
  <si>
    <t>ΠΑΠΠΑ</t>
  </si>
  <si>
    <t>ΧΑΡΙΚΛΕΙΑ</t>
  </si>
  <si>
    <t>ΑΙ266400</t>
  </si>
  <si>
    <t>728,2</t>
  </si>
  <si>
    <t>1962,2</t>
  </si>
  <si>
    <t>1070-1078</t>
  </si>
  <si>
    <t>ΠΟΥΛΙΟΥ</t>
  </si>
  <si>
    <t>ΑΜ287146</t>
  </si>
  <si>
    <t>832,7</t>
  </si>
  <si>
    <t>1960,7</t>
  </si>
  <si>
    <t>ΤΑΜΠΑΚΑΚΗ</t>
  </si>
  <si>
    <t>ΕΥΑΓΓΕΛΙΑ</t>
  </si>
  <si>
    <t>Χ854668</t>
  </si>
  <si>
    <t>1075-1076-1077</t>
  </si>
  <si>
    <t>ΑΡΒΑΝΙΤΑΚΗ</t>
  </si>
  <si>
    <t>ΤΡΙΑΝΤΑΦΥΛΛΙΑ</t>
  </si>
  <si>
    <t>Σ305490</t>
  </si>
  <si>
    <t>827,2</t>
  </si>
  <si>
    <t>1955,2</t>
  </si>
  <si>
    <t>1078-1073-1080-1079-1081-1083-1085-1088-1069-1082-1089-1072-1071-1070-1091-1090-1087-1086-1076-1075-1074-1077-1084-1092-1005</t>
  </si>
  <si>
    <t>ΜΗΝΤΟΥ</t>
  </si>
  <si>
    <t>ΠΑΣΧΑΛΙΝΑ</t>
  </si>
  <si>
    <t>ΑΕ350606</t>
  </si>
  <si>
    <t>1954,1</t>
  </si>
  <si>
    <t>1073-1078-1081-1079-1083-1082-1088-1069-1085-1071-1072-1070-1089</t>
  </si>
  <si>
    <t>ΜΙΡΤΣΟΠΟΥΛΟΥ</t>
  </si>
  <si>
    <t>ΑΗ841244</t>
  </si>
  <si>
    <t>1945,6</t>
  </si>
  <si>
    <t>1078-1079-1080-1073-1081-1082-1083-1085-1090-1091-1092-1074-1075-1076-1077-1086-1088-1069-1072-1084-1087-1089-1071-1070</t>
  </si>
  <si>
    <t>ΠΟΛΙΤΗΣ</t>
  </si>
  <si>
    <t>ΜΙΧΑΗΛ</t>
  </si>
  <si>
    <t>ΑΖ934719</t>
  </si>
  <si>
    <t>1944,6</t>
  </si>
  <si>
    <t>1084-1072-1078</t>
  </si>
  <si>
    <t>ΦΡΑΓΚΟΥΛΙΔΟΥ</t>
  </si>
  <si>
    <t>ΑΒ110161</t>
  </si>
  <si>
    <t>785,4</t>
  </si>
  <si>
    <t>1943,4</t>
  </si>
  <si>
    <t>1078-1081-1073-1080-1079-1085-1083-1082-1089-1087-1091-1092-1074-1075-1076-1077-1072-1088-1069-1070-1071-1084-1086-1090</t>
  </si>
  <si>
    <t>ΦΡΑΓΚΟΣ</t>
  </si>
  <si>
    <t>ΑΙ677661</t>
  </si>
  <si>
    <t>884,4</t>
  </si>
  <si>
    <t>1942,4</t>
  </si>
  <si>
    <t>1078-1072-1076-1075-1074-1077-1092-1091-1087-1069-1083-1082-1085-1079-1088-1084-1073-1089-1086-1081-1071-1005</t>
  </si>
  <si>
    <t>ΜΑΝΙΑΤΗ</t>
  </si>
  <si>
    <t>ΦΩΤΕΙΝΗ</t>
  </si>
  <si>
    <t>Φ211667</t>
  </si>
  <si>
    <t>812,9</t>
  </si>
  <si>
    <t>1940,9</t>
  </si>
  <si>
    <t>1086-1072-1071-1070-1089-1085-1083-1082-1088-1069-1090-1091-1087-1074-1075-1076-1077-1078-1081-1073-1080-1079-1084</t>
  </si>
  <si>
    <t>ΤΣΑΟΥΣΟΓΛΟΥ</t>
  </si>
  <si>
    <t>ΑΛΕΞΑΝΔΡΟΣ-ΑΒΡΑΑΜ</t>
  </si>
  <si>
    <t>ΠΑΝΤΕΛΗΣ-ΑΙΜΙΛΙΟΣ</t>
  </si>
  <si>
    <t>ΑΜ701841</t>
  </si>
  <si>
    <t>1930,9</t>
  </si>
  <si>
    <t>1078-1073-1085-1069-1082-1079-1081-1080</t>
  </si>
  <si>
    <t>ΚΑΡΥΩΤΗ</t>
  </si>
  <si>
    <t>ΘΕΟΔΩΡΟΣ</t>
  </si>
  <si>
    <t>ΑΖ264334</t>
  </si>
  <si>
    <t>1082-1083-1085-1069-1088-1078-1089-1073-1079-1072-1091-1092-1090-1074-1075-1076-1077</t>
  </si>
  <si>
    <t>ΠΑΥΛΑΚΗ</t>
  </si>
  <si>
    <t>ΑΑ062313</t>
  </si>
  <si>
    <t>1928,6</t>
  </si>
  <si>
    <t>1082-1069-1088-1087</t>
  </si>
  <si>
    <t>ΤΡΙΑΝΤΑΦΥΛΛΟΥ</t>
  </si>
  <si>
    <t>ΤΡΙΑΝΤΑΦΥΛΛΟΣ</t>
  </si>
  <si>
    <t>ΑΗ651326</t>
  </si>
  <si>
    <t>1927,9</t>
  </si>
  <si>
    <t>1078-1083-1082-1073-1080-1069-1081</t>
  </si>
  <si>
    <t>ΑΣΛΑΝΙΔΟΥ</t>
  </si>
  <si>
    <t>ΟΛΓΑ</t>
  </si>
  <si>
    <t>ΑΒ903679</t>
  </si>
  <si>
    <t>1927,5</t>
  </si>
  <si>
    <t>ΜΑΤΙΑΚΗ</t>
  </si>
  <si>
    <t>ΑΙ599167</t>
  </si>
  <si>
    <t>1922,2</t>
  </si>
  <si>
    <t>1078-1080-1073-1081-1079-1083-1082-1086</t>
  </si>
  <si>
    <t>ΚΥΛΑΦΗΣ</t>
  </si>
  <si>
    <t>ΦΩΚΙΩΝ</t>
  </si>
  <si>
    <t>ΑΚ353210</t>
  </si>
  <si>
    <t>663,3</t>
  </si>
  <si>
    <t>1921,3</t>
  </si>
  <si>
    <t>1077-1092-1091-1085-1086-1087-1079-1078-1081-1076-1075-1074-1072-1088-1082-1083-1089-1073-1069-1071</t>
  </si>
  <si>
    <t>ΑΝΤΩΝΙΑΔΟΥ</t>
  </si>
  <si>
    <t>ΑΚ448547</t>
  </si>
  <si>
    <t>842,6</t>
  </si>
  <si>
    <t>1920,6</t>
  </si>
  <si>
    <t>ΣΟΦΙΑΝΟΣ</t>
  </si>
  <si>
    <t>Σ765476</t>
  </si>
  <si>
    <t>1078-1073-1079-1083-1082-1081-1085-1088-1069-1089-1072-1071-1070-1005-1091-1090-1076-1077-1087-1075-1086-1074-1080-1084</t>
  </si>
  <si>
    <t>ΚΩΣΤΟΠΟΥΛΟΥ</t>
  </si>
  <si>
    <t>ΞΑΝΘΟΥΛΑ</t>
  </si>
  <si>
    <t>ΑΖ359793</t>
  </si>
  <si>
    <t>1914,1</t>
  </si>
  <si>
    <t>ΒΟΥΛΓΑΡΑΚΗ</t>
  </si>
  <si>
    <t>ΒΑΙΟΣ</t>
  </si>
  <si>
    <t>ΑΖ627395</t>
  </si>
  <si>
    <t>1907,9</t>
  </si>
  <si>
    <t>1083-1085-1088-1082-1069-1072-1086-1089-1078-1071-1087-1073-1081-1090-1079-1076-1075-1070-1074-1077-1084</t>
  </si>
  <si>
    <t>ΚΟΛΙΑΔΗ</t>
  </si>
  <si>
    <t>ΑΕ642409</t>
  </si>
  <si>
    <t>878,9</t>
  </si>
  <si>
    <t>1906,9</t>
  </si>
  <si>
    <t>ΦΑΤΟΥΡΟΣ</t>
  </si>
  <si>
    <t>ΑΕ505703</t>
  </si>
  <si>
    <t>838,2</t>
  </si>
  <si>
    <t>1906,2</t>
  </si>
  <si>
    <t>1070-1071-1072-1073</t>
  </si>
  <si>
    <t>ΤΣΙΡΑΝΤΩΝΑΚΗΣ</t>
  </si>
  <si>
    <t>ΑΒ975222</t>
  </si>
  <si>
    <t>1905,4</t>
  </si>
  <si>
    <t>1091-1090-1088</t>
  </si>
  <si>
    <t>ΤΣΟΛΑΡΙΔΗΣ</t>
  </si>
  <si>
    <t>ΑΚ306163</t>
  </si>
  <si>
    <t>746,9</t>
  </si>
  <si>
    <t>1904,9</t>
  </si>
  <si>
    <t>1078-1073-1079-1080-1081-1083</t>
  </si>
  <si>
    <t>ΦΟΥΝΤΟΥΛΑΚΗ</t>
  </si>
  <si>
    <t>ΚΑΛΛΙΟΠΗ</t>
  </si>
  <si>
    <t>ΑΝ235499</t>
  </si>
  <si>
    <t>776,6</t>
  </si>
  <si>
    <t>1904,6</t>
  </si>
  <si>
    <t>1078-1076-1077-1087-1074-1075-1073-1079-1085-1088-1089-1091-1084-1080-1072-1071-1069-1086</t>
  </si>
  <si>
    <t>ΒΑΜΒΑΚΙΑΣ</t>
  </si>
  <si>
    <t>ΑΗ333700</t>
  </si>
  <si>
    <t>1903,4</t>
  </si>
  <si>
    <t>1073-1078-1081-1085-1079-1069-1072-1071-1089-1070-1086-1090-1087-1074-1075-1076-1077</t>
  </si>
  <si>
    <t>ΡΑΠΤΗΣ</t>
  </si>
  <si>
    <t>ΣΤΕΡΓΙΟΣ</t>
  </si>
  <si>
    <t>ΑΕ799446</t>
  </si>
  <si>
    <t>1902,3</t>
  </si>
  <si>
    <t>1069-1085-1089-1073-1081-1078-1071-1072-1079-1070-1090-1087-1077-1074-1075-1076</t>
  </si>
  <si>
    <t>ΣΙΩΠΗ</t>
  </si>
  <si>
    <t>ΑΖ348225</t>
  </si>
  <si>
    <t>1898,2</t>
  </si>
  <si>
    <t>1078-1073-1079-1081-1080-1082-1083-1085-1089-1088-1069-1071-1072-1074-1075-1076-1077-1087-1090-1091-1070-1086</t>
  </si>
  <si>
    <t>ΚΡΟΥΣΤΑΛΛΗ</t>
  </si>
  <si>
    <t>ΖΗΣΗΣ</t>
  </si>
  <si>
    <t>ΑΖ904758</t>
  </si>
  <si>
    <t>1895,5</t>
  </si>
  <si>
    <t>1077-1074-1075-1076-1090-1091-1092-1089-1072-1071-1069-1070-1073-1078-1079-1081-1082-1083-1085-1086-1087-1088-1005-1080-1084</t>
  </si>
  <si>
    <t>ΠΑΣΧΟΥΔΗΣ</t>
  </si>
  <si>
    <t>ΣΤΕΡΓΙΟΣ-ΛΑΖΑΡΟΣ</t>
  </si>
  <si>
    <t>ΕΥΣΤΑΘΙΟΣ</t>
  </si>
  <si>
    <t>Χ406430</t>
  </si>
  <si>
    <t>1895,4</t>
  </si>
  <si>
    <t>1082-1083-1085-1088-1069-1073-1081-1078-1071-1089-1079-1091-1077-1076-1075-1074-1087</t>
  </si>
  <si>
    <t>ΧΡΙΣΤΟΦΑΣ</t>
  </si>
  <si>
    <t>Χ919441</t>
  </si>
  <si>
    <t>941,6</t>
  </si>
  <si>
    <t>1889,6</t>
  </si>
  <si>
    <t>ΤΖΑΜΠΑΖΗΣ</t>
  </si>
  <si>
    <t>Φ468229</t>
  </si>
  <si>
    <t>1887,4</t>
  </si>
  <si>
    <t>1080-1078-1073-1079-1081-1082-1083-1069-1085-1088-1089-1072-1071-1086-1087-1074-1075-1076-1077-1084-1070-1090-1091</t>
  </si>
  <si>
    <t>ΜΑΛΑΚΑΤΑ</t>
  </si>
  <si>
    <t>ΑΖ621287</t>
  </si>
  <si>
    <t>859,1</t>
  </si>
  <si>
    <t>1887,1</t>
  </si>
  <si>
    <t>1089-1072-1071</t>
  </si>
  <si>
    <t>ΜΠΛΙΓΟΡΙΔΟΥ</t>
  </si>
  <si>
    <t>ΑΘΗΝΑ</t>
  </si>
  <si>
    <t>ΑΖ915743</t>
  </si>
  <si>
    <t>805,2</t>
  </si>
  <si>
    <t>1883,2</t>
  </si>
  <si>
    <t>1078-1079-1085-1091-1087-1075-1076-1077-1074-1072-1073-1083-1088-1069-1089-1071-1005-1081-1082-1084-1086-1070</t>
  </si>
  <si>
    <t>ΔΗΜΑΔΗΣ</t>
  </si>
  <si>
    <t>ΑΕ667322</t>
  </si>
  <si>
    <t>844,8</t>
  </si>
  <si>
    <t>1882,8</t>
  </si>
  <si>
    <t>1078-1073-1079-1081-1083-1082-1085-1088-1069-1071-1072-1076-1074-1077-1075</t>
  </si>
  <si>
    <t>ΚΟΥΡΑΣ</t>
  </si>
  <si>
    <t>ΕΥΘΥΜΙΟΣ</t>
  </si>
  <si>
    <t>ΑΗ791982</t>
  </si>
  <si>
    <t>762,3</t>
  </si>
  <si>
    <t>1880,3</t>
  </si>
  <si>
    <t>1081-1073-1079-1078-1069-1085-1089-1072-1087-1076-1075-1077-1074</t>
  </si>
  <si>
    <t>ΝΤΟΒΑ</t>
  </si>
  <si>
    <t>ΕΥΜΟΡΦΙΑ</t>
  </si>
  <si>
    <t>ΑΖ774772</t>
  </si>
  <si>
    <t>801,9</t>
  </si>
  <si>
    <t>1879,9</t>
  </si>
  <si>
    <t>1085-1072-1071-1089-1088-1078-1082-1083-1069-1086-1091-1092-1087-1075-1076-1073-1084-1079-1074-1077-1081-1080</t>
  </si>
  <si>
    <t>ΤΣΕΛΙΑ</t>
  </si>
  <si>
    <t>ΖΩΗ</t>
  </si>
  <si>
    <t>ΑΒ849407</t>
  </si>
  <si>
    <t>1877,9</t>
  </si>
  <si>
    <t>1078-1080-1085-1082-1083-1069-1088-1089-1073-1079-1081-1072-1071-1091-1087-1076-1077-1090-1084-1074-1075-1070-1086</t>
  </si>
  <si>
    <t>ΣΤΡΟΥΜΠΟΥΛΗΣ</t>
  </si>
  <si>
    <t>ΑΒ193985</t>
  </si>
  <si>
    <t>1876,8</t>
  </si>
  <si>
    <t>1072-1085-1082-1071-1005-1089-1086-1088-1069-1078-1073-1079-1083-1080-1081-1070-1091-1090-1074-1075-1076-1077-1087</t>
  </si>
  <si>
    <t>ΣΠΥΡΙΔΗΣ</t>
  </si>
  <si>
    <t>ΑΑ024816</t>
  </si>
  <si>
    <t>937,2</t>
  </si>
  <si>
    <t>1875,2</t>
  </si>
  <si>
    <t>1070-1086-1082-1071-1005-1089-1085</t>
  </si>
  <si>
    <t>ΒΑΛΑΒΑΝΗ</t>
  </si>
  <si>
    <t>ΣΤΕΦΑΝΟΣ</t>
  </si>
  <si>
    <t>Ν918224</t>
  </si>
  <si>
    <t>ΒΛΑΧΑΚΗ</t>
  </si>
  <si>
    <t>ΗΡΑΚΛΗΣ</t>
  </si>
  <si>
    <t>Τ332165</t>
  </si>
  <si>
    <t>1077-1076</t>
  </si>
  <si>
    <t>ΚΙΤΣΟΓΛΟΥ</t>
  </si>
  <si>
    <t>ΣΑΒΒΑΣ</t>
  </si>
  <si>
    <t xml:space="preserve">ΚΟΣΜΑΣ </t>
  </si>
  <si>
    <t>ΑΖ648517</t>
  </si>
  <si>
    <t>1871,3</t>
  </si>
  <si>
    <t>1080-1073-1079-1088-1069-1085-1078</t>
  </si>
  <si>
    <t>ΛΕΤΣΙΟΣ</t>
  </si>
  <si>
    <t>Ρ868011</t>
  </si>
  <si>
    <t>1865,4</t>
  </si>
  <si>
    <t>1078-1080-1073-1085-1081</t>
  </si>
  <si>
    <t>ΧΡΥΣΟΧΟΙΔΟΥ</t>
  </si>
  <si>
    <t>ΠΑΝΑΓΙΩΤΑ</t>
  </si>
  <si>
    <t>Χ266589</t>
  </si>
  <si>
    <t>1865,3</t>
  </si>
  <si>
    <t>ΒΡΑΤΣΙΔΑΣ</t>
  </si>
  <si>
    <t>ΑΖ157000</t>
  </si>
  <si>
    <t>1864,9</t>
  </si>
  <si>
    <t>1078-1080-1073-1079-1081-1085-1082-1083-1088-1069-1089-1072-1071-1070-1086-1074-1075-1076-1087-1090-1077-1092-1091-1084</t>
  </si>
  <si>
    <t>ΠΑΣΧΑΛΙΔΗΣ</t>
  </si>
  <si>
    <t>ΑΗ869318</t>
  </si>
  <si>
    <t>1864,1</t>
  </si>
  <si>
    <t>1079-1078-1073-1081-1082-1083-1085-1069-1088-1091-1092-1090-1087-1074-1075-1076-1077-1072-1089-1071-1086-1005</t>
  </si>
  <si>
    <t>ΚΟΛΙΟΠΟΥΛΟΣ</t>
  </si>
  <si>
    <t>ΑΝ134985</t>
  </si>
  <si>
    <t>721,6</t>
  </si>
  <si>
    <t>1861,6</t>
  </si>
  <si>
    <t>1089-1082-1086-1083-1088-1085-1087-1091-1084</t>
  </si>
  <si>
    <t>ΧΡΙΣΤΟΔΟΥΛΟΥ</t>
  </si>
  <si>
    <t>ΑΜ484961</t>
  </si>
  <si>
    <t>1860,9</t>
  </si>
  <si>
    <t>1069-1089-1088</t>
  </si>
  <si>
    <t>ΝΙΚΕΛΛΗ</t>
  </si>
  <si>
    <t>ΜΕΡΟΠΗ</t>
  </si>
  <si>
    <t>ΑΕ428633</t>
  </si>
  <si>
    <t>ΕΛΕΥΘΕΡΙΑΔΗΣ</t>
  </si>
  <si>
    <t>ΓΕΩΡΓΙΟΣ-ΒΑΣΙΛΕΙΟΣ</t>
  </si>
  <si>
    <t>Χ784880</t>
  </si>
  <si>
    <t>940,5</t>
  </si>
  <si>
    <t>1858,5</t>
  </si>
  <si>
    <t>1079-1078-1073-1085-1088-1083-1069-1082-1081-1089-1070-1072-1071-1086-1091-1090-1077-1087-1075-1076-1074-1080-1084</t>
  </si>
  <si>
    <t>ΑΓΟΡΑΣΤΑΚΗ</t>
  </si>
  <si>
    <t>ΑΖ471122</t>
  </si>
  <si>
    <t>799,7</t>
  </si>
  <si>
    <t>1857,7</t>
  </si>
  <si>
    <t>1091-1090-1087</t>
  </si>
  <si>
    <t>ΝΙΚΗ</t>
  </si>
  <si>
    <t>ΑΗ291706</t>
  </si>
  <si>
    <t>1854,4</t>
  </si>
  <si>
    <t>1076-1077-1074-1087-1090-1085-1081-1075-1078-1073-1079-1069-1086-1089-1072-1070</t>
  </si>
  <si>
    <t>ΑΡΙΔΗ</t>
  </si>
  <si>
    <t>ΑΗ479992</t>
  </si>
  <si>
    <t>696,3</t>
  </si>
  <si>
    <t>1854,3</t>
  </si>
  <si>
    <t>1089-1085-1078-1086-1088-1079-1072-1091-1087-1077-1071-1005-1076-1074-1075-1073-1082-1083-1084-1081-1080-1090-1070</t>
  </si>
  <si>
    <t>ΚΑΛΑΝΤΖΗ</t>
  </si>
  <si>
    <t>ΣΟΦΙΑ</t>
  </si>
  <si>
    <t>ΑΚ227974</t>
  </si>
  <si>
    <t>1072-1071-1005-1087</t>
  </si>
  <si>
    <t>ΛΑΖΑΡΙΔΗΣ</t>
  </si>
  <si>
    <t>ΑΖ898955</t>
  </si>
  <si>
    <t>1845,6</t>
  </si>
  <si>
    <t>ΑΝΤΩΝΙΟΥ</t>
  </si>
  <si>
    <t>ΑΕ342197</t>
  </si>
  <si>
    <t>1078-1073-1081-1085-1083</t>
  </si>
  <si>
    <t>ΧΑΤΖΗΠΑΝΑΓΙΩΤΙΔΟΥ</t>
  </si>
  <si>
    <t>Χ394019</t>
  </si>
  <si>
    <t>1841,2</t>
  </si>
  <si>
    <t>1078-1073-1081</t>
  </si>
  <si>
    <t>ΑΕ337629</t>
  </si>
  <si>
    <t>809,6</t>
  </si>
  <si>
    <t>1837,6</t>
  </si>
  <si>
    <t>1070-1071-1072-1073-1074-1075-1076-1077-1078-1079-1080-1081-1085-1086-1087-1089-1069-1090-1005</t>
  </si>
  <si>
    <t>ΚΡΙΝΟΣ</t>
  </si>
  <si>
    <t>ΑΝ228389</t>
  </si>
  <si>
    <t>717,2</t>
  </si>
  <si>
    <t>1835,2</t>
  </si>
  <si>
    <t>1085-1089-1069-1072-1073-1074-1075-1078-1079-1080-1081</t>
  </si>
  <si>
    <t>ΤΖΑΓΚΑΡΟΥΛΑΚΗΣ</t>
  </si>
  <si>
    <t>ΑΖ958940</t>
  </si>
  <si>
    <t>1834,9</t>
  </si>
  <si>
    <t>1069-1070-1072-1073-1074-1075-1076-1077-1078-1079-1081-1083-1085-1086-1087-1089-1090</t>
  </si>
  <si>
    <t>ΚΟΡΑΗ</t>
  </si>
  <si>
    <t>ΑΓΓΕΛΙΚΗ</t>
  </si>
  <si>
    <t>ΑΚ968737</t>
  </si>
  <si>
    <t>914,1</t>
  </si>
  <si>
    <t>1832,1</t>
  </si>
  <si>
    <t>1083-1069-1088-1082-1085-1078-1073-1081-1089-1072-1071-1079-1091-1075-1074-1076-1087-1086-1077-1005</t>
  </si>
  <si>
    <t>ΚΟΝΤΟΣ</t>
  </si>
  <si>
    <t>Σ462466</t>
  </si>
  <si>
    <t>771,1</t>
  </si>
  <si>
    <t>1829,1</t>
  </si>
  <si>
    <t>1083-1082-1069-1088-1085-1078</t>
  </si>
  <si>
    <t>ΘΕΛΟΥΡΑ</t>
  </si>
  <si>
    <t>ΗΛΕΚΤΡΑ</t>
  </si>
  <si>
    <t>ΑΒ838955</t>
  </si>
  <si>
    <t>800,8</t>
  </si>
  <si>
    <t>1828,8</t>
  </si>
  <si>
    <t>1082-1085-1083-1088-1069-1089</t>
  </si>
  <si>
    <t>ΛΑΚΑΚΗΣ</t>
  </si>
  <si>
    <t>ΑΗ872523</t>
  </si>
  <si>
    <t>899,8</t>
  </si>
  <si>
    <t>1827,8</t>
  </si>
  <si>
    <t>1079-1078-1091</t>
  </si>
  <si>
    <t>ΝΕΒΕΣΚΙΩΤΗΣ</t>
  </si>
  <si>
    <t>ΑΙ326256</t>
  </si>
  <si>
    <t>1826,3</t>
  </si>
  <si>
    <t>1081-1073-1078-1085-1069-1079-1089-1072-1070-1086-1090-1074-1075-1076-1077-1087</t>
  </si>
  <si>
    <t>ΝΤΑΝΑΣΗ</t>
  </si>
  <si>
    <t>Χ055967</t>
  </si>
  <si>
    <t>1005-1069-1070-1071-1072-1073-1074-1075-1076-1077-1078-1079-1081-1082-1083-1085-1086-1087-1088-1089-1090-1091-1092</t>
  </si>
  <si>
    <t>ΤΣΑΟΥΣΗ</t>
  </si>
  <si>
    <t>Φ278139</t>
  </si>
  <si>
    <t>1825,6</t>
  </si>
  <si>
    <t>ΠΑΠΑΘΕΟΔΟΣΙΟΥ</t>
  </si>
  <si>
    <t>ΘΕΟΔΟΣΙΟΣ-ΙΩΑΝΝΗΣ</t>
  </si>
  <si>
    <t>ΑΚ037304</t>
  </si>
  <si>
    <t>850,3</t>
  </si>
  <si>
    <t>1822,3</t>
  </si>
  <si>
    <t>1072-1071-1089-1085-1086-1070-1069-1088-1082-1083-1073-1078-1081-1079-1087-1090-1091-1092-1076-1075-1074</t>
  </si>
  <si>
    <t>ΦΡΑΝΤΖΗ</t>
  </si>
  <si>
    <t>ΧΑΡΑΛΑΜΠΟΣ</t>
  </si>
  <si>
    <t>ΑΖ745186</t>
  </si>
  <si>
    <t>1069-1070-1071-1072-1073-1078-1081-1082-1083-1085-1088-1089-1074-1075-1076-1077</t>
  </si>
  <si>
    <t>ΔΑΗΣ</t>
  </si>
  <si>
    <t>Τ526597</t>
  </si>
  <si>
    <t>922,9</t>
  </si>
  <si>
    <t>1820,9</t>
  </si>
  <si>
    <t>1005-1069-1071-1072-1074-1075-1076-1077-1078-1082-1083-1085-1086-1087-1088-1091-1079-1081-1089-1073</t>
  </si>
  <si>
    <t>ΠΛΑΝΟΥ</t>
  </si>
  <si>
    <t>ΑΜ686855</t>
  </si>
  <si>
    <t>1820,3</t>
  </si>
  <si>
    <t>1078-1073-1091-1085-1079-1072-1088-1076-1086-1087-1089-1071-1081-1005</t>
  </si>
  <si>
    <t>ΛΥΚΟΥ</t>
  </si>
  <si>
    <t>ΣΟΦΙΑ-ΓΕΩΡΓΙΑ</t>
  </si>
  <si>
    <t>ΣΤΑΜΑΤΙΟΣ</t>
  </si>
  <si>
    <t>ΑΕ972618</t>
  </si>
  <si>
    <t>911,9</t>
  </si>
  <si>
    <t>1819,9</t>
  </si>
  <si>
    <t>1091-1090-1087-1092-1075-1076-1077-1074</t>
  </si>
  <si>
    <t>ΛΑΜΠΡΟΥΣΗΣ</t>
  </si>
  <si>
    <t>ΑΕ898181</t>
  </si>
  <si>
    <t>731,5</t>
  </si>
  <si>
    <t>1819,5</t>
  </si>
  <si>
    <t>1071-1005-1079-1078-1072-1090-1074-1075-1076-1077-1087</t>
  </si>
  <si>
    <t>ΓΙΩΤΗΣ</t>
  </si>
  <si>
    <t>ΑΝ295963</t>
  </si>
  <si>
    <t>1818,8</t>
  </si>
  <si>
    <t>1069-1072-1073-1074-1075-1076-1077-1078-1079-1081-1085-1086-1087-1089</t>
  </si>
  <si>
    <t>ΤΣΑΚΙΡΙΔΟΥ</t>
  </si>
  <si>
    <t>ΓΡΗΓΟΡΙΟΣ</t>
  </si>
  <si>
    <t>ΑΖ317613</t>
  </si>
  <si>
    <t>1817,5</t>
  </si>
  <si>
    <t>1073-1078-1085-1069-1081-1079-1089-1071-1072-1086-1087-1076-1075-1074-1077</t>
  </si>
  <si>
    <t>ΠΡΑΚΑΤΕΣ</t>
  </si>
  <si>
    <t>ΑΖ530043</t>
  </si>
  <si>
    <t>739,2</t>
  </si>
  <si>
    <t>1817,2</t>
  </si>
  <si>
    <t>1072-1071-1005-1089-1086-1090-1091-1092-1074-1075-1076-1077-1087-1085-1088-1069-1082-1083-1078-1079-1070-1073-1080-1081</t>
  </si>
  <si>
    <t>ΠΙΠΕΡΑΓΚΑΣ</t>
  </si>
  <si>
    <t>ΑΗ240645</t>
  </si>
  <si>
    <t>756,8</t>
  </si>
  <si>
    <t>1814,8</t>
  </si>
  <si>
    <t>1085-1075-1076-1077-1074-1069-1087</t>
  </si>
  <si>
    <t>ΤΑΡΚΑΣΗΣ</t>
  </si>
  <si>
    <t>ΑΚ887115</t>
  </si>
  <si>
    <t>806,3</t>
  </si>
  <si>
    <t>1814,3</t>
  </si>
  <si>
    <t>1078-1073-1080-1083-1079-1085-1088-1091-1090-1075-1087-1070-1089-1082-1072-1071-1069-1076-1077-1074-1086-1084-1092-1081</t>
  </si>
  <si>
    <t>ΚΑΤΣΑΡΟΣ</t>
  </si>
  <si>
    <t>ΑΕ398741</t>
  </si>
  <si>
    <t>783,2</t>
  </si>
  <si>
    <t>1813,2</t>
  </si>
  <si>
    <t>ΓΚΑΜΠΕΣΗ</t>
  </si>
  <si>
    <t>ΑΡΓΥΡΙΟΣ</t>
  </si>
  <si>
    <t>Χ848435</t>
  </si>
  <si>
    <t>834,9</t>
  </si>
  <si>
    <t>1812,9</t>
  </si>
  <si>
    <t>ΑΝΤΩΝΟΠΟΥΛΟΣ</t>
  </si>
  <si>
    <t>ΑΜ623015</t>
  </si>
  <si>
    <t>752,4</t>
  </si>
  <si>
    <t>1810,4</t>
  </si>
  <si>
    <t>1070-1069-1072-1089-1086-1085-1080-1078-1079-1090-1087-1073-1074-1075-1076-1077</t>
  </si>
  <si>
    <t>ΝΙΚΟΛΙΔΑΚΗ</t>
  </si>
  <si>
    <t>ΑΝ465025</t>
  </si>
  <si>
    <t>650,1</t>
  </si>
  <si>
    <t>1808,1</t>
  </si>
  <si>
    <t>1076-1077-1074</t>
  </si>
  <si>
    <t>1807,5</t>
  </si>
  <si>
    <t>ΚΑΡΑΜΗΤΣΟΥ</t>
  </si>
  <si>
    <t>Χ909039</t>
  </si>
  <si>
    <t>768,9</t>
  </si>
  <si>
    <t>1806,9</t>
  </si>
  <si>
    <t>1083-1082-1085-1069-1088-1076-1077-1074-1075-1090-1091-1092</t>
  </si>
  <si>
    <t>ΔΑΣΚΑΛΑΚΗ</t>
  </si>
  <si>
    <t>Χ184165</t>
  </si>
  <si>
    <t>708,4</t>
  </si>
  <si>
    <t>1806,4</t>
  </si>
  <si>
    <t>ΨΩΜΑΣ</t>
  </si>
  <si>
    <t>ΑΛΕΞΑΝΔΡΟΣ</t>
  </si>
  <si>
    <t>ΑΚ842534</t>
  </si>
  <si>
    <t>896,5</t>
  </si>
  <si>
    <t>1804,5</t>
  </si>
  <si>
    <t>1087-1092-1091-1075-1076-1074-1077</t>
  </si>
  <si>
    <t>ΧΡΟΝΗ</t>
  </si>
  <si>
    <t>ΑΖ992310</t>
  </si>
  <si>
    <t>1804,4</t>
  </si>
  <si>
    <t>ΝΤΟΓΚΟΥΛΗ</t>
  </si>
  <si>
    <t>ΑΙ293887</t>
  </si>
  <si>
    <t>745,8</t>
  </si>
  <si>
    <t>1803,8</t>
  </si>
  <si>
    <t>1073-1080-1085-1069-1078-1089-1079-1072-1081-1086-1087-1076-1075-1077-1074-1083-1082-1088-1070-1071-1091-1092-1090-1084</t>
  </si>
  <si>
    <t>ΠΑΣΠΑΤΗΣ</t>
  </si>
  <si>
    <t>ΛΑΜΠΡΟΣ</t>
  </si>
  <si>
    <t>ΑΚ482880</t>
  </si>
  <si>
    <t>ΚΩΝΣΤΑΝΤΙΝΙΔΗΣ</t>
  </si>
  <si>
    <t>Ρ361725</t>
  </si>
  <si>
    <t>1081-1082-1088-1083-1073</t>
  </si>
  <si>
    <t>ΑΜΑΝΑΤΙΔΟΥ</t>
  </si>
  <si>
    <t>ΧΡΥΣΗ ΣΥΜΕΛΑ</t>
  </si>
  <si>
    <t>Χ268340</t>
  </si>
  <si>
    <t>743,6</t>
  </si>
  <si>
    <t>1801,6</t>
  </si>
  <si>
    <t>1087-1090-1077-1078-1074-1075-1076-1073-1080-1079</t>
  </si>
  <si>
    <t>ΧΑΡΙΤΑΚΗΣ</t>
  </si>
  <si>
    <t>ΑΜ980484</t>
  </si>
  <si>
    <t>ΚΑΠΟΥ</t>
  </si>
  <si>
    <t>ΜΙΛΤΙΑΔΗΣ</t>
  </si>
  <si>
    <t>ΑΚ768418</t>
  </si>
  <si>
    <t>1072-1086-1085-1071-1077-1074-1075-1076-1087-1078-1088-1069-1082-1083-1089-1079-1073-1081-1084</t>
  </si>
  <si>
    <t>ΛΥΤΡΟΚΑΠΗ</t>
  </si>
  <si>
    <t>ΑΜ811870</t>
  </si>
  <si>
    <t>730,4</t>
  </si>
  <si>
    <t>1800,4</t>
  </si>
  <si>
    <t>1083-1082-1088-1069-1085-1089-1073-1072-1071-1078-1081-1091-1090-1087-1074-1075-1076-1077-1086</t>
  </si>
  <si>
    <t>ΑΕ395799</t>
  </si>
  <si>
    <t>1800,2</t>
  </si>
  <si>
    <t>1079-1078-1073-1081-1082-1085-1088-1069-1089-1072-1071-1086-1091-1087-1074-1075-1076-1077</t>
  </si>
  <si>
    <t>ΘΕΟΠΟΥΛΟΣ - ΠΑΣΧΑΛΑΣ</t>
  </si>
  <si>
    <t>ΦΙΛΙΠΠΟΣ</t>
  </si>
  <si>
    <t>ΑΙ738613</t>
  </si>
  <si>
    <t>760,1</t>
  </si>
  <si>
    <t>1798,1</t>
  </si>
  <si>
    <t>1005-1078-1073-1079-1083-1088-1085-1082-1069-1081-1070-1071-1072-1089-1090-1091-1087-1076-1077-1074-1075-1086</t>
  </si>
  <si>
    <t>ΜΑΣΤΟΡΑΚΗΣ</t>
  </si>
  <si>
    <t>ΑΒ184458</t>
  </si>
  <si>
    <t>1797,2</t>
  </si>
  <si>
    <t>1075-1076-1077-1074-1087-1090</t>
  </si>
  <si>
    <t>ΜΑΡΚΑΝΤΑ</t>
  </si>
  <si>
    <t>ΟΥΡΑΝΙΑ</t>
  </si>
  <si>
    <t>ΑΖ771078</t>
  </si>
  <si>
    <t>749,1</t>
  </si>
  <si>
    <t>1797,1</t>
  </si>
  <si>
    <t>1078-1073-1079</t>
  </si>
  <si>
    <t>ΜΠΑΣΙΟΥΚΑ ΠΟΛΥΧΡΟΝΙΑΔΟΥ</t>
  </si>
  <si>
    <t>Φ461024</t>
  </si>
  <si>
    <t>1794,1</t>
  </si>
  <si>
    <t>1072-1071-1086-1075-1076-1085-1091-1090-1088-1089-1077-1074-1078-1087-1070-1082-1069-1079-1073-1081-1083</t>
  </si>
  <si>
    <t>ΥΦΑΝΤΗ</t>
  </si>
  <si>
    <t>ΣΠΥΡΟΣ</t>
  </si>
  <si>
    <t>ΑΖ254298</t>
  </si>
  <si>
    <t>685,3</t>
  </si>
  <si>
    <t>1793,3</t>
  </si>
  <si>
    <t>1070-1079-1078-1085</t>
  </si>
  <si>
    <t>ΤΣΟΥΡΕΚΑΣ</t>
  </si>
  <si>
    <t>ΑΙ725839</t>
  </si>
  <si>
    <t>1078-1073-1079-1081</t>
  </si>
  <si>
    <t>ΔΗΜΑΚΟΥ</t>
  </si>
  <si>
    <t>ΑΙ178662</t>
  </si>
  <si>
    <t>733,7</t>
  </si>
  <si>
    <t>1791,7</t>
  </si>
  <si>
    <t>ΓΑΡΕΦΑΛΑΚΗΣ</t>
  </si>
  <si>
    <t>ΑΕ458509</t>
  </si>
  <si>
    <t>1787,9</t>
  </si>
  <si>
    <t>1077-1076-1074-1075-1106-1087</t>
  </si>
  <si>
    <t>ΧΥΤΑ</t>
  </si>
  <si>
    <t>ΑΗ198197</t>
  </si>
  <si>
    <t>1787,5</t>
  </si>
  <si>
    <t>1085-1082-1088-1069-1089-1083-1071-1072-1078-1081-1073</t>
  </si>
  <si>
    <t>ΓΚΟΝΕΛΑΣ</t>
  </si>
  <si>
    <t>AH263813</t>
  </si>
  <si>
    <t>729,3</t>
  </si>
  <si>
    <t>1787,3</t>
  </si>
  <si>
    <t>1083-1082-1069-1085-1088-1087-1090-1092-1091-1074-1076-1077-1089-1072-1081</t>
  </si>
  <si>
    <t>ΣΑΒΒΑΚΗ</t>
  </si>
  <si>
    <t>ΑΑ367101</t>
  </si>
  <si>
    <t>1786,6</t>
  </si>
  <si>
    <t>1075-1076-1077-1074-1087-1091-1071-1072-1089-1078-1085-1088-1073-1082-1083-1086-1081-1069</t>
  </si>
  <si>
    <t>ΚΟΛΙΟΣ</t>
  </si>
  <si>
    <t>ΑΗ206231</t>
  </si>
  <si>
    <t>697,4</t>
  </si>
  <si>
    <t>1785,4</t>
  </si>
  <si>
    <t>1089-1072-1073-1070-1069-1086-1085-1082-1090-1087-1081-1079-1078-1077-1076-1075-1074</t>
  </si>
  <si>
    <t>ΧΑΤΖΗΣ</t>
  </si>
  <si>
    <t>ΑΡΓΥΡΗΣ</t>
  </si>
  <si>
    <t>ΑΝ355920</t>
  </si>
  <si>
    <t>965,8</t>
  </si>
  <si>
    <t>1783,8</t>
  </si>
  <si>
    <t>1081-1073-1078-1079-1069-1085-1089</t>
  </si>
  <si>
    <t>ΣΩΤΗΡΟΠΟΥΛΟΥ</t>
  </si>
  <si>
    <t>ΑΕ595501</t>
  </si>
  <si>
    <t>855,8</t>
  </si>
  <si>
    <t>1086-1072-1071-1089-1073-1074-1077-1079-1081-1082-1085-1069-1070-1091-1092-1075-1078-1080-1083-1087-1088</t>
  </si>
  <si>
    <t>ΓΚΕΣΟΥΛΗ</t>
  </si>
  <si>
    <t>AK619586</t>
  </si>
  <si>
    <t>1778,6</t>
  </si>
  <si>
    <t>1072-1071-1089-1088-1085-1070-1081-1073-1078-1069-1083-1082-1086-1079-1080-1091-1092-1090-1075-1087-1076-1074-1077-1084-1005</t>
  </si>
  <si>
    <t>ΖΑΡΚΟΥ</t>
  </si>
  <si>
    <t>ΣΟΥΛΤΑΝΑ</t>
  </si>
  <si>
    <t>ΑΖ848465</t>
  </si>
  <si>
    <t>719,4</t>
  </si>
  <si>
    <t>1777,4</t>
  </si>
  <si>
    <t>1078-1079-1085-1073-1090-1087-1080-1081-1069-1075-1076-1077-1074-1070-1072-1086-1089</t>
  </si>
  <si>
    <t>ΒΑΙΤΣΗ</t>
  </si>
  <si>
    <t>ΑΕ282023</t>
  </si>
  <si>
    <t>1774,3</t>
  </si>
  <si>
    <t>1090-1091-1087</t>
  </si>
  <si>
    <t>ΕΥΦΡΑΙΜΙΔΟΥ</t>
  </si>
  <si>
    <t>ΙΣΑΑΚ</t>
  </si>
  <si>
    <t>ΑΑ269835</t>
  </si>
  <si>
    <t>775,5</t>
  </si>
  <si>
    <t>1773,5</t>
  </si>
  <si>
    <t>1078-1073-1079-1081-1085-1083-1082-1088-1069-1089-1070-1071-1091-1087-1074-1075-1076-1077</t>
  </si>
  <si>
    <t>ΤΟΥΛΙΑΣ</t>
  </si>
  <si>
    <t>ΑΗ058114</t>
  </si>
  <si>
    <t>699,6</t>
  </si>
  <si>
    <t>1767,6</t>
  </si>
  <si>
    <t>1086-1075-1076-1074-1077-1078</t>
  </si>
  <si>
    <t>ΡΟΠΗΣ</t>
  </si>
  <si>
    <t>ΘΡΑΣΥΒΟΥΛΟΣ</t>
  </si>
  <si>
    <t>ΑΖ287039</t>
  </si>
  <si>
    <t>1766,2</t>
  </si>
  <si>
    <t>1069-1082-1085-1088</t>
  </si>
  <si>
    <t>ΑΥΓΟΛΟΥΠΗΣ</t>
  </si>
  <si>
    <t>ΑΖ671980</t>
  </si>
  <si>
    <t>757,9</t>
  </si>
  <si>
    <t>1765,9</t>
  </si>
  <si>
    <t>1078-1073-1081-1079-1088-1083-1069-1085-1082-1089</t>
  </si>
  <si>
    <t>ΜΑΚΡΙΔΟΥ</t>
  </si>
  <si>
    <t>ΕΛΙΣΣΑΒΕΤ</t>
  </si>
  <si>
    <t>ΑΙ864245</t>
  </si>
  <si>
    <t>1763,1</t>
  </si>
  <si>
    <t>1085-1088-1082-1083-1069</t>
  </si>
  <si>
    <t>ΧΑΤΖΟΥΔΗ</t>
  </si>
  <si>
    <t>ΠΑΝΑΓΙΩΤΑ ΕΛΕΝΗ ΣΤΕΡΓΙΑΝΗ</t>
  </si>
  <si>
    <t>Χ869301</t>
  </si>
  <si>
    <t>854,7</t>
  </si>
  <si>
    <t>1762,7</t>
  </si>
  <si>
    <t>1079-1078-1080-1073-1088-1069-1085-1082-1083-1089-1071-1091-1072-1074-1075-1076-1077-1087-1081-1086-1084</t>
  </si>
  <si>
    <t>ΠΑΠΑΠΟΣΤΟΛΟΥ</t>
  </si>
  <si>
    <t>Ρ890162</t>
  </si>
  <si>
    <t>1762,6</t>
  </si>
  <si>
    <t>1069-1086-1087</t>
  </si>
  <si>
    <t>ΜΙΜΙΔΗΣ</t>
  </si>
  <si>
    <t>Π326691</t>
  </si>
  <si>
    <t>764,5</t>
  </si>
  <si>
    <t>1762,5</t>
  </si>
  <si>
    <t>1004-1024-1119-1069-1070-1071-1072-1073-1074-1075-1076-1077-1078-1079-1080-1081-1082-1083-1084-1085-1086-1087-1088-1089-1090-1091-1092-1005</t>
  </si>
  <si>
    <t>ΑΓΑΠΟΥΛΑΚΗ</t>
  </si>
  <si>
    <t>ΑΜ211358</t>
  </si>
  <si>
    <t>958,1</t>
  </si>
  <si>
    <t>1762,1</t>
  </si>
  <si>
    <t>1085-1091-1074-1075-1076-1077-1081-1087-1072-1086-1088-1082-1083-1078-1079-1071-1069-1073-1089</t>
  </si>
  <si>
    <t>ΣΑΚΚΑΣ</t>
  </si>
  <si>
    <t>ΑΙ279800</t>
  </si>
  <si>
    <t>694,1</t>
  </si>
  <si>
    <t>1069-1071-1072-1073-1074-1075-1076-1077-1078-1079-1081-1082-1083-1084-1085-1086-1087-1088-1089-1091-1092</t>
  </si>
  <si>
    <t>ΘΕΟΔΩΡΟΥ</t>
  </si>
  <si>
    <t>Χ331768</t>
  </si>
  <si>
    <t>ΤΣΟΥΚΑΛΑΔΕΛΗ</t>
  </si>
  <si>
    <t>ΒΑΣΙΛΕΙΑ</t>
  </si>
  <si>
    <t>Χ764745</t>
  </si>
  <si>
    <t>1078-1073-1079-1085-1088-1083-1082-1069-1081-1072-1071-1089-1086-1091-1076-1075-1087-1077-1074-1005</t>
  </si>
  <si>
    <t>ΤΖΟΥΡΟΣ</t>
  </si>
  <si>
    <t>ΣΤΑΜΟΥΛΗΣ</t>
  </si>
  <si>
    <t>Χ780758</t>
  </si>
  <si>
    <t>863,5</t>
  </si>
  <si>
    <t>1761,5</t>
  </si>
  <si>
    <t>1070-1078-1081-1073-1072-1069-1079-1082-1083-1088-1089-1086-1085-1071-1080-1074-1075-1076-1077-1087-1084-1090-1091</t>
  </si>
  <si>
    <t>ΚΑΛΟΦΥΡΗ</t>
  </si>
  <si>
    <t>ΑΖ742368</t>
  </si>
  <si>
    <t>732,6</t>
  </si>
  <si>
    <t>1760,6</t>
  </si>
  <si>
    <t>1078-1087-1074-1075-1076-1077-1085-1079-1072-1073-1086-1089</t>
  </si>
  <si>
    <t>ΠΛΙΑΚΟΠΑΝΟΥ</t>
  </si>
  <si>
    <t>ΑΑ062344</t>
  </si>
  <si>
    <t>1759,1</t>
  </si>
  <si>
    <t>1069-1081-1088</t>
  </si>
  <si>
    <t>ΣΑΦΟΥΡΗΣ</t>
  </si>
  <si>
    <t>ΑΒ363121</t>
  </si>
  <si>
    <t>1758,4</t>
  </si>
  <si>
    <t>1078-1073</t>
  </si>
  <si>
    <t>ΚΩΝΣΤΑΝΤΟΠΟΥΛΟΥ</t>
  </si>
  <si>
    <t>Σ471521</t>
  </si>
  <si>
    <t>1758,2</t>
  </si>
  <si>
    <t>1086-1069-1088-1082-1083-1072-1078-1085-1089-1070-1071-1073-1074-1075-1076-1077-1079-1080-1081-1084-1087-1090-1091-1092</t>
  </si>
  <si>
    <t>ΤΣΕΡΓΑ</t>
  </si>
  <si>
    <t>ΘΕΟΔΟΣΙΟΣ</t>
  </si>
  <si>
    <t>ΑΗ272478</t>
  </si>
  <si>
    <t>829,4</t>
  </si>
  <si>
    <t>1757,4</t>
  </si>
  <si>
    <t>1088-1069-1082-1085-1083-1089-1081-1073-1078-1086-1080-1079-1071-1070-1072-1087-1090-1091-1074-1075-1076-1077-1084</t>
  </si>
  <si>
    <t>ΜΠΟΝΑΣ</t>
  </si>
  <si>
    <t>ΔΗΜΟΣΘΕΝΗΣ</t>
  </si>
  <si>
    <t>ΑΜ897379</t>
  </si>
  <si>
    <t>790,9</t>
  </si>
  <si>
    <t>1756,9</t>
  </si>
  <si>
    <t>1069-1070-1072-1073-1074-1075-1076-1077-1078-1079-1081-1085-1086-1087-1089-1091</t>
  </si>
  <si>
    <t>ΒΑΧΑΡΕΛΗ</t>
  </si>
  <si>
    <t>ΚΑΣΣΙΑΝΗ</t>
  </si>
  <si>
    <t>ΑΕ190015</t>
  </si>
  <si>
    <t>848,1</t>
  </si>
  <si>
    <t>1756,1</t>
  </si>
  <si>
    <t>1078-1079-1073-1082-1085-1088</t>
  </si>
  <si>
    <t>ΔΑΒΛΑΝΤΗ</t>
  </si>
  <si>
    <t>ΑΚ359927</t>
  </si>
  <si>
    <t>1754,8</t>
  </si>
  <si>
    <t>1086-1072-1078-1083-1085-1089</t>
  </si>
  <si>
    <t>ΠΕΡΑΚΗ</t>
  </si>
  <si>
    <t>ΑΕ903248</t>
  </si>
  <si>
    <t>ΣΤΑΘΗΣ</t>
  </si>
  <si>
    <t>ΑΜ366056</t>
  </si>
  <si>
    <t>1752,4</t>
  </si>
  <si>
    <t>1069-1078-1073-1089-1072-1081-1085-1080-1079-1082-1083-1071-1088-1070-1074-1075-1076-1077-1091-1092-1084</t>
  </si>
  <si>
    <t>ΠΑΤΣΩΝΑΣ</t>
  </si>
  <si>
    <t>ΑΒ428392</t>
  </si>
  <si>
    <t>1751,2</t>
  </si>
  <si>
    <t>1081-1078-1085-1073-1074-1088</t>
  </si>
  <si>
    <t>ΚΑΓΙΑΝΝΗΣ</t>
  </si>
  <si>
    <t>ΑΖ774832</t>
  </si>
  <si>
    <t>931,7</t>
  </si>
  <si>
    <t>1749,7</t>
  </si>
  <si>
    <t>1085-1089-1078</t>
  </si>
  <si>
    <t>ΠΑΝΔΗ</t>
  </si>
  <si>
    <t>ΑΚ485740</t>
  </si>
  <si>
    <t>841,5</t>
  </si>
  <si>
    <t>1749,5</t>
  </si>
  <si>
    <t>1091-1090-1087-1075-1076-1074-1077-1078-1085-1072-1086-1088-1079-1089-1071-1082-1083-1073-1069-1070-1081-1080</t>
  </si>
  <si>
    <t>ΡΕΤΣΙΝΗΣ</t>
  </si>
  <si>
    <t>ΕΥΓΕΝΙΟΣ</t>
  </si>
  <si>
    <t>Ρ172199</t>
  </si>
  <si>
    <t>871,2</t>
  </si>
  <si>
    <t>1749,2</t>
  </si>
  <si>
    <t>1071-1089-1072-1086-1069-1081-1078-1085-1079-1073-1074-1075-1076-1077-1087</t>
  </si>
  <si>
    <t>1748,2</t>
  </si>
  <si>
    <t>ΓΑΛΑΝΗ</t>
  </si>
  <si>
    <t>ΑΙ179792</t>
  </si>
  <si>
    <t>1747,4</t>
  </si>
  <si>
    <t>1082-1083-1085-1088-1069-1078-1086-1072-1071-1089-1073-1081-1079-1074-1075-1076-1077-1087-1091-1092</t>
  </si>
  <si>
    <t>ΓΙΔΑΣ</t>
  </si>
  <si>
    <t>ΑΓΑΠΗΤΟΣ</t>
  </si>
  <si>
    <t>ΠΑΡΑΣΚΕΥΑΣ</t>
  </si>
  <si>
    <t>ΑΖ996421</t>
  </si>
  <si>
    <t>657,8</t>
  </si>
  <si>
    <t>1745,8</t>
  </si>
  <si>
    <t>1089-1085-1072-1070</t>
  </si>
  <si>
    <t>1745,4</t>
  </si>
  <si>
    <t>ΚΑΠΑΤΣΙΝΑ</t>
  </si>
  <si>
    <t>ΑΛΕΞΑΝΔΡΑ</t>
  </si>
  <si>
    <t>Φ267358</t>
  </si>
  <si>
    <t>1745,1</t>
  </si>
  <si>
    <t>1005-1069-1070-1071-1072-1073-1074-1075-1076-1077-1078-1079-1080-1081-1082-1083-1084-1085-1086-1087-1088-1089-1090-1091-1092</t>
  </si>
  <si>
    <t>1744,2</t>
  </si>
  <si>
    <t>ΓΙΑΝΝΑΚΟΥ</t>
  </si>
  <si>
    <t>ΑΗ930857</t>
  </si>
  <si>
    <t>1743,8</t>
  </si>
  <si>
    <t>1084-1086-1089-1072-1078-1079-1091-1073-1081-1074-1075-1076-1077-1069-1071-1082-1083-1085-1087-1088</t>
  </si>
  <si>
    <t>ΠΑΠΑΔΟΠΟΥΛΟΣ</t>
  </si>
  <si>
    <t>ΑΗ153961</t>
  </si>
  <si>
    <t>765,6</t>
  </si>
  <si>
    <t>1743,6</t>
  </si>
  <si>
    <t>ΓΙΩΤΗ</t>
  </si>
  <si>
    <t>ΑΙ702115</t>
  </si>
  <si>
    <t>1742,9</t>
  </si>
  <si>
    <t>1069-1071-1072-1073-1074-1075-1076-1077-1078-1079-1081-1082-1083-1084-1085-1086-1087-1088-1089-1091</t>
  </si>
  <si>
    <t>ΣΟΡΟΛΗ</t>
  </si>
  <si>
    <t>ΕΥΣΤΑΘΙΑ</t>
  </si>
  <si>
    <t>ΑΙ573040</t>
  </si>
  <si>
    <t>744,7</t>
  </si>
  <si>
    <t>1742,7</t>
  </si>
  <si>
    <t>1086-1071-1072-1005-1077-1076-1075-1074-1091-1090-1087-1078-1089-1070-1085-1082-1083-1088-1069-1079-1073-1081-1084-1080</t>
  </si>
  <si>
    <t>ΔΕΤΟΡΑΚΗΣ</t>
  </si>
  <si>
    <t>ΜΙΧΑΛΗΣ</t>
  </si>
  <si>
    <t>ΑΖ958604</t>
  </si>
  <si>
    <t>1742,4</t>
  </si>
  <si>
    <t>1074-1075-1076-1077-1087-1088-1089-1090-1091-1092</t>
  </si>
  <si>
    <t>ΚΟΝΤΟΛΑΤΗΣ</t>
  </si>
  <si>
    <t>ΛΟΥΚΑΣ</t>
  </si>
  <si>
    <t>Χ085070</t>
  </si>
  <si>
    <t>683,1</t>
  </si>
  <si>
    <t>1741,1</t>
  </si>
  <si>
    <t>ΘΑΝΑΣΟΥ</t>
  </si>
  <si>
    <t>ΑΕ629208</t>
  </si>
  <si>
    <t>1071-1087-1072-1091-1085</t>
  </si>
  <si>
    <t>1740,2</t>
  </si>
  <si>
    <t>ΦΑΚΑΛΗΣ</t>
  </si>
  <si>
    <t>ΑΚ906031</t>
  </si>
  <si>
    <t>661,1</t>
  </si>
  <si>
    <t>1739,1</t>
  </si>
  <si>
    <t>1078-1073-1079-1085-1081-1082-1087-1089</t>
  </si>
  <si>
    <t>ΜΑΝΟΥΣΗΣ</t>
  </si>
  <si>
    <t>Σ793036</t>
  </si>
  <si>
    <t>640,2</t>
  </si>
  <si>
    <t xml:space="preserve"> 1080- 1084</t>
  </si>
  <si>
    <t>1738,2</t>
  </si>
  <si>
    <t>1076-1077-1075-1074-1087-1091-1092-1090-1085-1072-1079-1078-1084-1073-1080-1082-1083-1069-1088-1070-1071-1081-1086-1089-1005</t>
  </si>
  <si>
    <t>1737,2</t>
  </si>
  <si>
    <t>ΜΟΥΜΚΑ</t>
  </si>
  <si>
    <t>ΠΑΝΤΕΛΙΑ</t>
  </si>
  <si>
    <t>ΑΗ164968</t>
  </si>
  <si>
    <t>1073-1078-1080</t>
  </si>
  <si>
    <t>ΜΠΑΚΑΝΟΣ</t>
  </si>
  <si>
    <t>ΑΙ870255</t>
  </si>
  <si>
    <t>677,6</t>
  </si>
  <si>
    <t>1735,6</t>
  </si>
  <si>
    <t>ΤΣΙΡΙΓΚΑΣ</t>
  </si>
  <si>
    <t>ΑΚ235136</t>
  </si>
  <si>
    <t>1733,8</t>
  </si>
  <si>
    <t>1089-1086-1004-1083-1072-1078-1085-1088-1079-1091-1087-1076-1077-1075-1069-1071-1005-1073-1082-1084-1081-1074</t>
  </si>
  <si>
    <t>ΔΟΥΓΕΚΟΥ</t>
  </si>
  <si>
    <t>ΔΑΝΑΗ</t>
  </si>
  <si>
    <t>ΑΚ660766</t>
  </si>
  <si>
    <t>1733,1</t>
  </si>
  <si>
    <t>1072-1086-1091-1077-1075-1076-1087-1085-1071-1089-1088-1073-1083-1069-1082-1074-1078-1079-1084-1081</t>
  </si>
  <si>
    <t>ΑΘΑΝΑΣΙΟΥ</t>
  </si>
  <si>
    <t>ΑΙ095238</t>
  </si>
  <si>
    <t>804,1</t>
  </si>
  <si>
    <t>1732,1</t>
  </si>
  <si>
    <t>1078-1085-1074-1075-1076-1077-1091-1092-1087-1086-1072-1089-1088-1084-1071-1083-1082-1069-1079-1080-1081-1073</t>
  </si>
  <si>
    <t>ΠΑΠΑΧΡΗΣΤΟΥ</t>
  </si>
  <si>
    <t>ΑΗ355368</t>
  </si>
  <si>
    <t>1730,6</t>
  </si>
  <si>
    <t>ΓΑΝΤΖΟΥΔΗ</t>
  </si>
  <si>
    <t>ΕΥΤΥΧΙΑ</t>
  </si>
  <si>
    <t>ΑΜ372735</t>
  </si>
  <si>
    <t>872,3</t>
  </si>
  <si>
    <t>1730,3</t>
  </si>
  <si>
    <t>1083-1082-1088-1085-1069-1078-1089-1073-1081-1071-1005-1072-1079-1086-1076-1075-1091-1077-1074-1087-1080-1084</t>
  </si>
  <si>
    <t>ΟΥΖΟΥΝΗΣ</t>
  </si>
  <si>
    <t>ΦΑΙΔΩΝ</t>
  </si>
  <si>
    <t>Ξ805770</t>
  </si>
  <si>
    <t>Τ322301</t>
  </si>
  <si>
    <t>1727,8</t>
  </si>
  <si>
    <t>1075-1074-1076-1077-1087-1091</t>
  </si>
  <si>
    <t>Ρ897155</t>
  </si>
  <si>
    <t>1726,2</t>
  </si>
  <si>
    <t>1069-1085-1078-1073-1089-1079-1072-1081-1077-1076-1075-1087-1074-1086</t>
  </si>
  <si>
    <t>ΚΑΤΣΑΡΟΥ</t>
  </si>
  <si>
    <t>ΔΕΣΠΟΙΝΑ</t>
  </si>
  <si>
    <t>ΕΥΣΤΡΑΤΙΟΣ</t>
  </si>
  <si>
    <t>ΑΖ432851</t>
  </si>
  <si>
    <t>628,1</t>
  </si>
  <si>
    <t>1726,1</t>
  </si>
  <si>
    <t>ΠΡΟΥΣΑΛΗ</t>
  </si>
  <si>
    <t>ΑΖ668736</t>
  </si>
  <si>
    <t>777,7</t>
  </si>
  <si>
    <t>1725,7</t>
  </si>
  <si>
    <t>1071-1072-1089-1086-1078-1085-1073-1079-1088-1070-1083-1082-1081-1069-1005</t>
  </si>
  <si>
    <t>1725,3</t>
  </si>
  <si>
    <t>ΤΣΑΚΑΛΩΖΟΣ</t>
  </si>
  <si>
    <t>ΑΕ873027</t>
  </si>
  <si>
    <t>1724,8</t>
  </si>
  <si>
    <t>1080-1078</t>
  </si>
  <si>
    <t>ΝΤΗΛΙΑ</t>
  </si>
  <si>
    <t>ΑΚ137941</t>
  </si>
  <si>
    <t>695,2</t>
  </si>
  <si>
    <t>1723,2</t>
  </si>
  <si>
    <t>1069-1088-1082-1083-1085-1089-1071-1070-1072-1073-1078-1079-1080-1081-1086-1074-1075-1076-1077-1087-1090-1091-1092</t>
  </si>
  <si>
    <t>ΒΕΛΕΓΡΑΚΗΣ</t>
  </si>
  <si>
    <t>ΑΕ463011</t>
  </si>
  <si>
    <t>1721,7</t>
  </si>
  <si>
    <t>1077-1076-1075-1074</t>
  </si>
  <si>
    <t>ΙΩΑΝΝΟΥ</t>
  </si>
  <si>
    <t>Χ424782</t>
  </si>
  <si>
    <t>1721,2</t>
  </si>
  <si>
    <t>1085-1089-1082-1088-1069-1083-1078-1073-1079-1071-1005-1080-1081-1072-1070-1086-1091-1092-1076-1075-1077-1090</t>
  </si>
  <si>
    <t>ΚΟΥΚΟΥΛΗ</t>
  </si>
  <si>
    <t>ΑΗ284598</t>
  </si>
  <si>
    <t>903,1</t>
  </si>
  <si>
    <t>1721,1</t>
  </si>
  <si>
    <t>1069-1085-1089</t>
  </si>
  <si>
    <t>ΚΑΣΣΙΔΗ</t>
  </si>
  <si>
    <t>ΑΒ846876</t>
  </si>
  <si>
    <t>793,1</t>
  </si>
  <si>
    <t>1085-1082-1069-1072-1078-1089-1086-1081-1079-1087-1075-1076-1074-1077-1073</t>
  </si>
  <si>
    <t>ΠΑΠΑΜΙΛΤΙΑΔΗΣ</t>
  </si>
  <si>
    <t>ΑΒ912378</t>
  </si>
  <si>
    <t>1079-1078-1073-1072</t>
  </si>
  <si>
    <t>ΔΗΜΗΤΡΙΑΔΟΥ</t>
  </si>
  <si>
    <t>ΑΙ386699</t>
  </si>
  <si>
    <t>1717,1</t>
  </si>
  <si>
    <t>ΒΑΛΑΚΟΥ</t>
  </si>
  <si>
    <t>Σ691981</t>
  </si>
  <si>
    <t>798,6</t>
  </si>
  <si>
    <t>1716,6</t>
  </si>
  <si>
    <t>1072-1086-1085-1078-1079-1091-1092-1090-1071-1089-1082-1083-1088-1069-1084-1073-1075-1074-1076-1087-1077-1081-1080-1070-1005</t>
  </si>
  <si>
    <t>1715,2</t>
  </si>
  <si>
    <t>ΚΡΗΤΙΚΟΥ</t>
  </si>
  <si>
    <t>ΑΕ246556</t>
  </si>
  <si>
    <t>1070-1069-1071-1072-1089-1086-1081-1078-1082-1083-1080-1087-1079-1085-1090-1091-1073-1074-1075-1076-1077</t>
  </si>
  <si>
    <t>ΝΤΟΥΦΑΣ</t>
  </si>
  <si>
    <t>ΑΖ263136</t>
  </si>
  <si>
    <t>1714,6</t>
  </si>
  <si>
    <t>1069-1070-1073-1078-1079-1085-1086-1089</t>
  </si>
  <si>
    <t>ΜΠΟΥΣΙΟΥ</t>
  </si>
  <si>
    <t>ΑΚ913048</t>
  </si>
  <si>
    <t>1714,4</t>
  </si>
  <si>
    <t>1078-1081-1073-1079-1088-1082-1087-1089-1071</t>
  </si>
  <si>
    <t>ΣΙΜΟΥ</t>
  </si>
  <si>
    <t>Χ978193</t>
  </si>
  <si>
    <t>1712,3</t>
  </si>
  <si>
    <t>1088-1069-1082-1083</t>
  </si>
  <si>
    <t>ΣΑΜΑΡΤΖΙΔΟΥ</t>
  </si>
  <si>
    <t>ΑΝΘΗ</t>
  </si>
  <si>
    <t>ΑΑ438655</t>
  </si>
  <si>
    <t>1711,5</t>
  </si>
  <si>
    <t>ΓΗΤΑ</t>
  </si>
  <si>
    <t>ΝΙΚΗΤΑΣ</t>
  </si>
  <si>
    <t>ΑΚ389804</t>
  </si>
  <si>
    <t>1709,2</t>
  </si>
  <si>
    <t>1081-1073-1078-1079-1088-1069-1083-1082-1085-1089-1071-1072-1086-1076-1075-1091-1087-1074-1077</t>
  </si>
  <si>
    <t>ΜΠΟΥΤΙΚΑΣ</t>
  </si>
  <si>
    <t>Σ127127</t>
  </si>
  <si>
    <t>1708,9</t>
  </si>
  <si>
    <t>1038-1027-1029-1005-1045-1033-1034-1046-1041-1044-1042-1032-1026-1072-1071-1089-1085-1078-1091-1086-1088-1069-1083-1082-1074-1075-1076-1077</t>
  </si>
  <si>
    <t>ΠΑΠΟΥΤΣΗΣ</t>
  </si>
  <si>
    <t>ΑΖ883585</t>
  </si>
  <si>
    <t>1708,4</t>
  </si>
  <si>
    <t>ΓΚΑΜΠΕΛΗΣ</t>
  </si>
  <si>
    <t>ΠΕΤΡΟΣ</t>
  </si>
  <si>
    <t>ΑΗ806894</t>
  </si>
  <si>
    <t>1708,2</t>
  </si>
  <si>
    <t>ΛΟΥΤΑΣ</t>
  </si>
  <si>
    <t>Σ040830</t>
  </si>
  <si>
    <t>889,9</t>
  </si>
  <si>
    <t>1707,9</t>
  </si>
  <si>
    <t>ΜΠΟΥΝΤΑΣ</t>
  </si>
  <si>
    <t>Χ154507</t>
  </si>
  <si>
    <t>1707,7</t>
  </si>
  <si>
    <t>1072-1071-1089-1082-1083-1078-1079-1069-1088-1085-1086-1077-1074-1075-1076-1081-1087-1091-1092-1070-1073-1084</t>
  </si>
  <si>
    <t>ΜΑΝΩΛΕΔΑΚΗ</t>
  </si>
  <si>
    <t>ΑΙΚΑΤΕΡΙΝΗ-ΑΝΝΑ</t>
  </si>
  <si>
    <t>Τ494106</t>
  </si>
  <si>
    <t>1707,2</t>
  </si>
  <si>
    <t>1091-1087-1072-1075-1077-1074-1076-1071-1089-1088-1069-1086-1083-1082-1085-1073-1079-1078-1081</t>
  </si>
  <si>
    <t>ΜΠΑΔΑ</t>
  </si>
  <si>
    <t>ΑΖ406906</t>
  </si>
  <si>
    <t>818,4</t>
  </si>
  <si>
    <t>1706,4</t>
  </si>
  <si>
    <t>1073-1078-1081-1079-1082-1085-1088-1005</t>
  </si>
  <si>
    <t>ΠΑΠΑΔΑΜ</t>
  </si>
  <si>
    <t>ΑΝΔΡΟΜΑΧΗ</t>
  </si>
  <si>
    <t>ΑΙ305652</t>
  </si>
  <si>
    <t>1085-1083-1082-1088-1069-1072-1089-1071-1078-1073-1081-1079-1086-1091-1087-1074-1077-1076-1075-1005</t>
  </si>
  <si>
    <t>1706,3</t>
  </si>
  <si>
    <t>ΜΗΛΙΩΡΙΤΣΑΣ</t>
  </si>
  <si>
    <t>ΑΙ173307</t>
  </si>
  <si>
    <t>1078-1079-1073-1085-1082-1083-1088-1069-1081-1089-1071-1072-1005</t>
  </si>
  <si>
    <t>ΔΙΑΝΕΛΗΣ</t>
  </si>
  <si>
    <t>ΑΛΚΙΒΙΑΔΗΣ</t>
  </si>
  <si>
    <t>ΑΜ848917</t>
  </si>
  <si>
    <t>1704,4</t>
  </si>
  <si>
    <t>1081-1073-1078-1088-1069-1082-1083</t>
  </si>
  <si>
    <t>ΜΠΑΚΑΛΑΚΟΥ</t>
  </si>
  <si>
    <t>ΒΑΙΑ ΜΑΡΙΑ</t>
  </si>
  <si>
    <t>ΑΕ330749</t>
  </si>
  <si>
    <t>845,9</t>
  </si>
  <si>
    <t>1703,9</t>
  </si>
  <si>
    <t>1088-1069-1082</t>
  </si>
  <si>
    <t>1703,4</t>
  </si>
  <si>
    <t>ΧΑΤΖΟΠΟΥΛΟΣ</t>
  </si>
  <si>
    <t>ΑΜ727037</t>
  </si>
  <si>
    <t>1700,9</t>
  </si>
  <si>
    <t>ΑΣΗΜΑΚΗ</t>
  </si>
  <si>
    <t>Ρ776751</t>
  </si>
  <si>
    <t>1699,5</t>
  </si>
  <si>
    <t>1069-1072-1073-1074-1075-1076-1077-1078-1085-1086-1087-1089</t>
  </si>
  <si>
    <t>ΜΑΛΙΓΚΟΥΔΗ</t>
  </si>
  <si>
    <t>ΑΗ807616</t>
  </si>
  <si>
    <t>1698,9</t>
  </si>
  <si>
    <t>1073-1078-1079-1081-1082-1083-1085-1088-1089-1069-1071</t>
  </si>
  <si>
    <t>ΓΑΛΗΝΑ</t>
  </si>
  <si>
    <t>ΘΕΟΔΩΡΑ</t>
  </si>
  <si>
    <t>ΑΒ803783</t>
  </si>
  <si>
    <t>1081-1073-1088-1069-1085-1082-1083-1089-1079-1086-1077-1091-1087-1076-1075-1074</t>
  </si>
  <si>
    <t>ΑΕ777112</t>
  </si>
  <si>
    <t>1697,7</t>
  </si>
  <si>
    <t>1069-1082-1086-1087</t>
  </si>
  <si>
    <t>ΠΑΠΑΝΙΚΟΛΑΟΥ</t>
  </si>
  <si>
    <t>ΕΥΓΕΝΙΑ</t>
  </si>
  <si>
    <t>ΕΠΑΜΕΙΝΩΝΔΑΣ</t>
  </si>
  <si>
    <t>ΑΕ052328</t>
  </si>
  <si>
    <t>1079-1078</t>
  </si>
  <si>
    <t>ΜΑΥΡΙΔΟΥ</t>
  </si>
  <si>
    <t>Χ958129</t>
  </si>
  <si>
    <t>1696,8</t>
  </si>
  <si>
    <t>1080-1078-1073-1083-1082-1085-1081-1072-1069-1088-1086-1089-1071-1091-1090-1087-1074-1075-1076-1077</t>
  </si>
  <si>
    <t>ΜΠΕΤΖΙΟΥ</t>
  </si>
  <si>
    <t>ΜΥΡΤΩ</t>
  </si>
  <si>
    <t>ΠΕΡΙΚΛΗΣ</t>
  </si>
  <si>
    <t>Χ767820</t>
  </si>
  <si>
    <t>808,5</t>
  </si>
  <si>
    <t>1696,5</t>
  </si>
  <si>
    <t>ΔΑΜΙΑΝΙΔΗΣ</t>
  </si>
  <si>
    <t>ΑΖ786666</t>
  </si>
  <si>
    <t>1695,3</t>
  </si>
  <si>
    <t>1069-1070-1072-1073-1074-1075-1076-1077-1078-1079-1081-1085-1086-1087-1089-1090</t>
  </si>
  <si>
    <t>ΣΑΙΒΑΝΙΔΟΥ</t>
  </si>
  <si>
    <t>ΠΑΡΘΕΝΑ</t>
  </si>
  <si>
    <t>ΟΔΥΣΣΕΥΣ</t>
  </si>
  <si>
    <t>ΑΕ196359</t>
  </si>
  <si>
    <t>1069-1071-1073-1078-1079-1081-1082-1083-1085-1088-1089</t>
  </si>
  <si>
    <t>ΠΑΡΑΣΚΕΥΑ</t>
  </si>
  <si>
    <t>ΑΙ160050</t>
  </si>
  <si>
    <t>1693,2</t>
  </si>
  <si>
    <t>1078-1073-1079-1081-1085-1074-1075-1076-1077</t>
  </si>
  <si>
    <t>ΦΡΑΝΤΖΗΣ</t>
  </si>
  <si>
    <t>ΑΚ453694</t>
  </si>
  <si>
    <t>1692,9</t>
  </si>
  <si>
    <t>1084-1078-1073-1079-1085-1083-1089-1069-1090-1082-1081-1072-1071</t>
  </si>
  <si>
    <t>ΒΑΣΙΛΟΓΛΟΥ</t>
  </si>
  <si>
    <t>ΑΕ328939</t>
  </si>
  <si>
    <t>1692,7</t>
  </si>
  <si>
    <t>1088-1069-1082-1083-1085-1089</t>
  </si>
  <si>
    <t>ΣΠΕΤΣΙΩΤΗΣ</t>
  </si>
  <si>
    <t>ΑΒ909192</t>
  </si>
  <si>
    <t>1691,9</t>
  </si>
  <si>
    <t>ΜΠΙΡΙΚΑΚΗΣ</t>
  </si>
  <si>
    <t>ΑΑ464584</t>
  </si>
  <si>
    <t>1691,8</t>
  </si>
  <si>
    <t>1087-1090-1075</t>
  </si>
  <si>
    <t>ΤΣΟΥΡΑΜΑΝΗ</t>
  </si>
  <si>
    <t>Χ130769</t>
  </si>
  <si>
    <t>1691,1</t>
  </si>
  <si>
    <t>1072-1071-1086-1090-1091-1078-1089-1085-1087-1088-1069-1074-1075-1076-1077-1081-1073-1080-1079-1082-1083-1084</t>
  </si>
  <si>
    <t>ΑΝΥΦΑΝΤΗ</t>
  </si>
  <si>
    <t>ΦΡΑΤΖΕΣΚΑ</t>
  </si>
  <si>
    <t>ΑΖ907058</t>
  </si>
  <si>
    <t>ΛΑΜΠΡΙΝΟΣ</t>
  </si>
  <si>
    <t>ΑΗ468441</t>
  </si>
  <si>
    <t>1690,7</t>
  </si>
  <si>
    <t>ΦΑΚΗΣ</t>
  </si>
  <si>
    <t>ΑΙ331543</t>
  </si>
  <si>
    <t>1690,3</t>
  </si>
  <si>
    <t>1081-1069-1073-1078-1079-1085</t>
  </si>
  <si>
    <t>ΚΑΡΑΤΣΙΩΡΗ</t>
  </si>
  <si>
    <t>ΒΑΣΙΛΙΚΗ ΚΥΡΙΑΚΟΥΛΑ</t>
  </si>
  <si>
    <t>ΑΒ031165</t>
  </si>
  <si>
    <t>1690,2</t>
  </si>
  <si>
    <t>1089-1085-1088</t>
  </si>
  <si>
    <t>ΚΑΤΣΑΦΑΡΑΣ</t>
  </si>
  <si>
    <t>Π840846</t>
  </si>
  <si>
    <t>1689,5</t>
  </si>
  <si>
    <t>1069-1070-1071-1072-1073-1078-1079-1081-1085-1086-1089-1087-1074-1075-1076-1077</t>
  </si>
  <si>
    <t>ΣΤΑΥΡΟΥ</t>
  </si>
  <si>
    <t>ΕΥΘΥΜΙΑ</t>
  </si>
  <si>
    <t>Σ234030</t>
  </si>
  <si>
    <t>830,5</t>
  </si>
  <si>
    <t>1688,5</t>
  </si>
  <si>
    <t>1071-1070-1072-1078-1089-1086-1085-1082-1088-1069-1083-1090-1087-1073-1074-1075-1076-1077-1079-1091-1092</t>
  </si>
  <si>
    <t>ΕΡΜΙΟΝΗ</t>
  </si>
  <si>
    <t>ΑΜ377132</t>
  </si>
  <si>
    <t>1088-1069-1082-1083-1085-1089-1073-1081-1078-1071-1005-1072-1079-1070-1090-1091-1087-1077-1074-1075-1076</t>
  </si>
  <si>
    <t>1687,9</t>
  </si>
  <si>
    <t>ΠΕΤΑΛΑ</t>
  </si>
  <si>
    <t>Χ445197</t>
  </si>
  <si>
    <t>ΚΟΤΖΑΜΠΑΣΑΚΗΣ</t>
  </si>
  <si>
    <t>ΑΚ054650</t>
  </si>
  <si>
    <t>1686,8</t>
  </si>
  <si>
    <t>1090-1091-1092</t>
  </si>
  <si>
    <t>ΜΑΝΘΟΥ</t>
  </si>
  <si>
    <t>Χ414235</t>
  </si>
  <si>
    <t>1686,5</t>
  </si>
  <si>
    <t>1083-1069-1082</t>
  </si>
  <si>
    <t>ΚΑΛΑΜΑΡΑΣ</t>
  </si>
  <si>
    <t>ΑΕ452270</t>
  </si>
  <si>
    <t>1686,3</t>
  </si>
  <si>
    <t>1076-1075-1074-1077-1091-1087-1078-1072-1071-1089-1086-1082-1083-1085-1088-1079-1073-1070-1069-1081</t>
  </si>
  <si>
    <t>ΚΥΠΙΡΤΙΔΗΣ</t>
  </si>
  <si>
    <t>ΧΡΥΣΑΝΘΟΣ</t>
  </si>
  <si>
    <t>ΕΛΕΥΘΕΡΙΟΣ</t>
  </si>
  <si>
    <t>ΑΕ334864</t>
  </si>
  <si>
    <t>1090-1070-1074-1075-1076-1077-1087-1072-1081-1079-1089-1086-1085-1078-1073-1069</t>
  </si>
  <si>
    <t>ΝΙΚΟΛΑΚΟΠΟΥΛΟΣ</t>
  </si>
  <si>
    <t>ΑΑ440470</t>
  </si>
  <si>
    <t>1684,8</t>
  </si>
  <si>
    <t>ΠΑΠΑΡΙΖΟΥ</t>
  </si>
  <si>
    <t>ΧΑΙΔΩ</t>
  </si>
  <si>
    <t>ΑΙ291903</t>
  </si>
  <si>
    <t>766,7</t>
  </si>
  <si>
    <t>1684,7</t>
  </si>
  <si>
    <t>1083-1082-1069-1085-1088</t>
  </si>
  <si>
    <t>1684,4</t>
  </si>
  <si>
    <t>ΑΝΤΙΝΟΥ</t>
  </si>
  <si>
    <t>ΑΒ998261</t>
  </si>
  <si>
    <t>865,7</t>
  </si>
  <si>
    <t>1683,7</t>
  </si>
  <si>
    <t>1085-1089-1069-1072-1070-1090-1076-1077-1075-1074-1078-1079-1073-1080-1081-1087</t>
  </si>
  <si>
    <t>ΒΑΒΑΤΣΗ</t>
  </si>
  <si>
    <t>ΣΤΥΛΙΑΝΗ</t>
  </si>
  <si>
    <t>ΑΖ348275</t>
  </si>
  <si>
    <t>864,6</t>
  </si>
  <si>
    <t>1682,6</t>
  </si>
  <si>
    <t>1079-1078-1073-1081-1069-1085-1074-1075-1076-1077-1072-1086-1087-1089</t>
  </si>
  <si>
    <t>ΛΥΠΗΡΙΔΟΥ</t>
  </si>
  <si>
    <t>ΑΖ188656</t>
  </si>
  <si>
    <t>1680,9</t>
  </si>
  <si>
    <t>ΜΟΣΧΟΣ</t>
  </si>
  <si>
    <t>ΑΖ695802</t>
  </si>
  <si>
    <t>822,8</t>
  </si>
  <si>
    <t>1680,8</t>
  </si>
  <si>
    <t>1078-1073-1083-1081-1082-1088-1069-1085-1079</t>
  </si>
  <si>
    <t>ΜΑΝΩΛΑΚΑΚΗΣ</t>
  </si>
  <si>
    <t>ΑΕ463466</t>
  </si>
  <si>
    <t>1075-1076-1074-1077-1087-1091-1078</t>
  </si>
  <si>
    <t>ΚΟΥΣΟΥΛΑ</t>
  </si>
  <si>
    <t>Φ339189</t>
  </si>
  <si>
    <t>876,7</t>
  </si>
  <si>
    <t>1680,7</t>
  </si>
  <si>
    <t>ΚΕΜΕΝΤΣΕΤΣΙΔΟΥ</t>
  </si>
  <si>
    <t>ΑΑ402426</t>
  </si>
  <si>
    <t>1680,1</t>
  </si>
  <si>
    <t>1080-1078-1079-1073-1085-1088-1089-1083-1082-1086-1087-1091-1069-1071-1074-1075-1076-1077</t>
  </si>
  <si>
    <t>ΟΙΚΟΝΟΜΟΥ</t>
  </si>
  <si>
    <t>ΑΝΤΩΝΙΑ</t>
  </si>
  <si>
    <t>ΤΕΛΗΣ</t>
  </si>
  <si>
    <t>ΑΖ665628</t>
  </si>
  <si>
    <t>1078-1073-1081-1070-1069-1085-1079-1089-1072-1086-1090-1091-1087-1076-1075-1077-1074-1080</t>
  </si>
  <si>
    <t>ΚΕΤΣΕΤΖΗ</t>
  </si>
  <si>
    <t>Χ970997</t>
  </si>
  <si>
    <t>1679,9</t>
  </si>
  <si>
    <t>1079-1078-1073-1081-1082-1083-1085-1086-1087-1088-1069-1071-1072-1089-1084-1074-1075-1076-1077-1092-1091</t>
  </si>
  <si>
    <t>ΓΙΑΝΝΑΚΑΚΗΣ</t>
  </si>
  <si>
    <t>ΑΙ744880</t>
  </si>
  <si>
    <t>1679,6</t>
  </si>
  <si>
    <t>1078-1073-1085-1081-1069-1089-1072-1086-1074-1075-1076-1077</t>
  </si>
  <si>
    <t>ΚΩΣΤΙΔΟΥ</t>
  </si>
  <si>
    <t>ΑΒ280453</t>
  </si>
  <si>
    <t>1678,6</t>
  </si>
  <si>
    <t>1085-1087-1092-1091-1090-1072-1088-1069-1079-1078-1086-1084-1071-1005-1083-1075-1074-1076-1077-1089-1082-1081-1073-1070-1080</t>
  </si>
  <si>
    <t>ΜΠΑΡΛΑΣ</t>
  </si>
  <si>
    <t>ΑΝ964301</t>
  </si>
  <si>
    <t>1678,5</t>
  </si>
  <si>
    <t>ΚΑΡΑΚΟΛΗ</t>
  </si>
  <si>
    <t>ΑΙ880784</t>
  </si>
  <si>
    <t>1081-1073-1078-1088-1082-1083</t>
  </si>
  <si>
    <t>ΧΑΣΑΝΗΣ</t>
  </si>
  <si>
    <t>ΑΡΗΣ</t>
  </si>
  <si>
    <t>Ρ332003</t>
  </si>
  <si>
    <t>1072-1005-1075-1074-1076-1077-1069-1070-1078-1079-1080-1081-1085-1086-1087-1089</t>
  </si>
  <si>
    <t>ΠΑΡΟΥΤΗ</t>
  </si>
  <si>
    <t>ΑΕ681480</t>
  </si>
  <si>
    <t>1677,5</t>
  </si>
  <si>
    <t>1085-1082-1083-1088-1089-1078</t>
  </si>
  <si>
    <t>ΑΒ350876</t>
  </si>
  <si>
    <t>1675,6</t>
  </si>
  <si>
    <t>ΧΑΣΤΑΣ</t>
  </si>
  <si>
    <t>ΑΙ875273</t>
  </si>
  <si>
    <t>1675,3</t>
  </si>
  <si>
    <t>1078-1069-1071-1072-1073-1074-1075-1076-1077-1079-1081-1082-1083-1085-1086-1087-1088-1089-1091</t>
  </si>
  <si>
    <t>Λιώλιος</t>
  </si>
  <si>
    <t>Άγγελος</t>
  </si>
  <si>
    <t>Αστέριος</t>
  </si>
  <si>
    <t>ΑΕ133260</t>
  </si>
  <si>
    <t>1674,9</t>
  </si>
  <si>
    <t>1079-1078-1073-1081-1085-1082-1072-1089-1069-1086-1087-1074-1075-1076-1077-1084</t>
  </si>
  <si>
    <t>ΑΓΓΕΛΗ</t>
  </si>
  <si>
    <t>ΑΒ843225</t>
  </si>
  <si>
    <t>1674,6</t>
  </si>
  <si>
    <t>1069-1088-1082-1083-1085-1078-1081-1089-1071-1079-1072-1073-1086-1070-1076-1074-1075-1077-1087-1091-1084</t>
  </si>
  <si>
    <t>ΜΑΡΓΑΡΙΤΗΣ</t>
  </si>
  <si>
    <t>ΓΕΩΡΓΙΟΣ ΑΛΕΞΑΝΔΡΟΣ</t>
  </si>
  <si>
    <t>ΑΜ819873</t>
  </si>
  <si>
    <t>1673,3</t>
  </si>
  <si>
    <t>1082-1083-1069-1088-1085</t>
  </si>
  <si>
    <t>ΠΑΠΑΖΩΗΣ</t>
  </si>
  <si>
    <t>ΑΚ899478</t>
  </si>
  <si>
    <t>1673,1</t>
  </si>
  <si>
    <t>1078-1073-1079-1080</t>
  </si>
  <si>
    <t>ΝΙΚΟΥ</t>
  </si>
  <si>
    <t>ΕΥΔΟΚΙΑ</t>
  </si>
  <si>
    <t>ΑΛΕΚΟΣ</t>
  </si>
  <si>
    <t>ΑΝ690790</t>
  </si>
  <si>
    <t>1078-1073-1080-1079-1081</t>
  </si>
  <si>
    <t>ΕΥΣΤΡΑΤΙΑ</t>
  </si>
  <si>
    <t>ΑΚ305348</t>
  </si>
  <si>
    <t>1672,3</t>
  </si>
  <si>
    <t>1084-1078-1085-1072-1079-1091-1074-1075-1076-1077-1087-1086-1088-1069-1082-1083-1071-1073-1081</t>
  </si>
  <si>
    <t>ΚΟΙΜΤΣΙΔΟΥ</t>
  </si>
  <si>
    <t>ΤΑΤΙΑΝΑ</t>
  </si>
  <si>
    <t>ΑΜ662882</t>
  </si>
  <si>
    <t>1078-1073-1079-1083-1082-1081-1085-1088-1069</t>
  </si>
  <si>
    <t>ΜΟΥΣΤΑΚΛΗΣ</t>
  </si>
  <si>
    <t>ΜΑΡΙΟΣ</t>
  </si>
  <si>
    <t>ΑΒ809465</t>
  </si>
  <si>
    <t>1085-1069-1078-1073-1081-1089-1070-1072-1079-1086-1090-1087-1076-1075-1074-1077</t>
  </si>
  <si>
    <t>ΚΟΥΣΚΟΥΡΑΣ</t>
  </si>
  <si>
    <t>ΑΖ297456</t>
  </si>
  <si>
    <t>1671,4</t>
  </si>
  <si>
    <t>1081-1073-1078-1069-1082-1085-1089-1003-1072-1079</t>
  </si>
  <si>
    <t>ΤΣΕΡΓΑΣ</t>
  </si>
  <si>
    <t>ΑΚ975530</t>
  </si>
  <si>
    <t>1671,1</t>
  </si>
  <si>
    <t>1069-1095-1001-1085-1097-1089-1093-1081-1070-1078-1072-1073-1079-1094-1080-1086-1087-1090-1074-1075-1077-1098</t>
  </si>
  <si>
    <t>ΤΕΓΟΣ</t>
  </si>
  <si>
    <t>ΑΜ682530</t>
  </si>
  <si>
    <t>1670,4</t>
  </si>
  <si>
    <t>1078-1080-1073-1079-1081-1085-1069-1076-1075-1074-1077-1090-1087-1072-1070-1089-1086</t>
  </si>
  <si>
    <t>ΓΙΩΤΣΑΣ</t>
  </si>
  <si>
    <t>ΑΙ838974</t>
  </si>
  <si>
    <t>642,4</t>
  </si>
  <si>
    <t>1069-1070-1078-1085-1082-1083-1089-1079-1081</t>
  </si>
  <si>
    <t>ΚΟΨΑΧΕΙΛΗ</t>
  </si>
  <si>
    <t>Χ406642</t>
  </si>
  <si>
    <t>821,7</t>
  </si>
  <si>
    <t>1669,7</t>
  </si>
  <si>
    <t>1069-1085</t>
  </si>
  <si>
    <t>ΚΑΣΣΕΛΑ</t>
  </si>
  <si>
    <t>ΑΚ765213</t>
  </si>
  <si>
    <t>1071-1072-1089</t>
  </si>
  <si>
    <t>ΓΚΑΤΖΙΟΥΡΑ</t>
  </si>
  <si>
    <t>ΑΡΓΥΡΩ</t>
  </si>
  <si>
    <t>ΑΖ795324</t>
  </si>
  <si>
    <t>810,7</t>
  </si>
  <si>
    <t>1668,7</t>
  </si>
  <si>
    <t>1081-1073-1082-1088-1069-1083-1078-1085</t>
  </si>
  <si>
    <t>ΓΕΩΡΓΟΥΛΑΣ</t>
  </si>
  <si>
    <t>ΑΚ414741</t>
  </si>
  <si>
    <t>1668,2</t>
  </si>
  <si>
    <t>1088-1069</t>
  </si>
  <si>
    <t>ΣΤΑΥΡΕΛΗ</t>
  </si>
  <si>
    <t>Χ896785</t>
  </si>
  <si>
    <t>1668,1</t>
  </si>
  <si>
    <t>1086-1072-1071-1089-1085-1082-1083-1070-1079-1078-1088-1091-1090-1074-1077-1076-1075-1087-1081-1069-1073-1080-1084-1005</t>
  </si>
  <si>
    <t>ΜΠΑΜΠΑΛΙΑΡΗ</t>
  </si>
  <si>
    <t>ΑΚ415505</t>
  </si>
  <si>
    <t>1667,9</t>
  </si>
  <si>
    <t>1088-1069-1082-1085-1089-1083-1072-1078-1073-1081-1071-1079-1080-1070-1086-1091-1087-1077-1076-1075-1074-1090-1084</t>
  </si>
  <si>
    <t>ΑΙ325024</t>
  </si>
  <si>
    <t>1667,6</t>
  </si>
  <si>
    <t>1081-1073-1088-1069-1078-1082-1083-1085-1079-1080-1070-1072-1071-1089-1086-1091-1092-1087-1077-1076-1075-1074-1084</t>
  </si>
  <si>
    <t>ΚΑΤΣΑΝΗΣ</t>
  </si>
  <si>
    <t>ΑΗ919891</t>
  </si>
  <si>
    <t>1667,2</t>
  </si>
  <si>
    <t>ΜΗΝΑΣ</t>
  </si>
  <si>
    <t>ΑΝ360252</t>
  </si>
  <si>
    <t>1666,9</t>
  </si>
  <si>
    <t>1092-1070-1090-1079-1089-1071-1072-1078-1073-1083-1082-1088-1069-1085-1081-1091-1087-1086-1074-1075-1077-1080-1084</t>
  </si>
  <si>
    <t>ΓΙΩΤΑΚΗΣ</t>
  </si>
  <si>
    <t>ΑΖ743513</t>
  </si>
  <si>
    <t>1086-1092-1091-1090-1088-1087-1072-1076-1077-1074-1081-1078-1085-1082-1083-1089-1071-1073-1079</t>
  </si>
  <si>
    <t>ΤΡΑΤΣΕΛΑ</t>
  </si>
  <si>
    <t>ΙΩΑΚΕΙΜ</t>
  </si>
  <si>
    <t>ΑΗ336979</t>
  </si>
  <si>
    <t>1666,5</t>
  </si>
  <si>
    <t>1078-1079-1073</t>
  </si>
  <si>
    <t>ΤΣΑΤΣΟΥ</t>
  </si>
  <si>
    <t>Χ775713</t>
  </si>
  <si>
    <t>1665,4</t>
  </si>
  <si>
    <t>1070-1082-1083-1071-1085-1073-1078-1069-1072-1086-1089-1088-1081-1079-1080-1074-1075-1076-1077-1087-1090-1091-1092-1084</t>
  </si>
  <si>
    <t>ΔΙΠΛΑΡΗΣ</t>
  </si>
  <si>
    <t>ΑΧΙΛΛΙΟΣ</t>
  </si>
  <si>
    <t>ΑΚ924462</t>
  </si>
  <si>
    <t>1665,3</t>
  </si>
  <si>
    <t>1078-1080-1073-1075-1076</t>
  </si>
  <si>
    <t>ΚΑΚΑΝΗ</t>
  </si>
  <si>
    <t>ΑΖ683652</t>
  </si>
  <si>
    <t>727,1</t>
  </si>
  <si>
    <t>1665,1</t>
  </si>
  <si>
    <t>ΑΒ979673</t>
  </si>
  <si>
    <t>1664,9</t>
  </si>
  <si>
    <t>1664,6</t>
  </si>
  <si>
    <t>ΜΑΓΚΑΦΙΝΗ</t>
  </si>
  <si>
    <t>ΑΔΑΜ</t>
  </si>
  <si>
    <t>ΑΖ884312</t>
  </si>
  <si>
    <t>1663,9</t>
  </si>
  <si>
    <t>1069-1070-1072-1073-1074-1075-1076-1077-1078-1079-1080-1081-1082-1085-1086-1087-1089-1090</t>
  </si>
  <si>
    <t>ΝΕΣΣΗ</t>
  </si>
  <si>
    <t>ΠΑΥΛΙΝΑ</t>
  </si>
  <si>
    <t>ΑΑ889119</t>
  </si>
  <si>
    <t>735,9</t>
  </si>
  <si>
    <t>1069-1083-1082-1085-1088-1089-1073-1072-1071-1078-1081-1086-1087-1079-1091-1092-1090-1070-1075-1076-1077-1074-1080-1084</t>
  </si>
  <si>
    <t>ΠΟΥΛΟΣ</t>
  </si>
  <si>
    <t>ΔΗΜΗΤΡΗΣ</t>
  </si>
  <si>
    <t>ΑΕ745316</t>
  </si>
  <si>
    <t>1663,5</t>
  </si>
  <si>
    <t>1086-1085-1084-1087-1091-1092-1069-1071-1072-1073-1074-1075-1076-1077-1078-1079-1080-1081-1082-1083-1088-1089</t>
  </si>
  <si>
    <t>ΚΑΡΑΤΖΟΛΙΤΗ</t>
  </si>
  <si>
    <t>ΑΠΟΣΤΟΛΙΑ</t>
  </si>
  <si>
    <t>Τ395625</t>
  </si>
  <si>
    <t>1083-1069-1082-1088-1085</t>
  </si>
  <si>
    <t>ΠΛΑΚΑ</t>
  </si>
  <si>
    <t>Χ983071</t>
  </si>
  <si>
    <t>1663,4</t>
  </si>
  <si>
    <t>1089-1085-1072-1069-1073-1081-1086-1078-1087-1074-1075-1076-1077-1079</t>
  </si>
  <si>
    <t>ΓΕΡΜΑΝΙΔΗΣ</t>
  </si>
  <si>
    <t>ΑΗ800545</t>
  </si>
  <si>
    <t>1662,2</t>
  </si>
  <si>
    <t>1081-1073-1078-1069-1079-1085-1072-1071-1089-1086-1091-1077-1076-1075-1074-1087</t>
  </si>
  <si>
    <t>ΑΛΕΞΑΚΗΣ</t>
  </si>
  <si>
    <t>ΑΖ627217</t>
  </si>
  <si>
    <t>1662,1</t>
  </si>
  <si>
    <t>1072-1071-1087-1083-1085-1088-1086-1089-1091-1075-1076-1073-1078-1079-1084</t>
  </si>
  <si>
    <t>ΚΩΝΣΤΑΝΤΑΚΟΠΟΥΛΟΣ</t>
  </si>
  <si>
    <t>ΑΙ213791</t>
  </si>
  <si>
    <t>1659,6</t>
  </si>
  <si>
    <t>1086-1070-1071-1072-1089-1085-1082-1083-1075-1091-1087-1077-1076-1074</t>
  </si>
  <si>
    <t>ΤΣΙΛΙΜΙΓΚΑ</t>
  </si>
  <si>
    <t>ΑΖ242122</t>
  </si>
  <si>
    <t>1658,8</t>
  </si>
  <si>
    <t>1069-1088-1078-1072-1082-1083-1085-1091-1087-1081-1079-1073-1074-1075-1076-1077-1071</t>
  </si>
  <si>
    <t>ΜΟΥΣΤΑΚΑ</t>
  </si>
  <si>
    <t>ΑΝ041974</t>
  </si>
  <si>
    <t>1658,4</t>
  </si>
  <si>
    <t>1071-1072-1078-1073-1080-1085-1083-1082-1088-1089-1069-1086-1079-1081-1070-1087-1090-1091-1092-1074-1075-1076-1077-1084</t>
  </si>
  <si>
    <t>ΤΖΙΜΑ</t>
  </si>
  <si>
    <t>ΚΥΒΕΛΗ</t>
  </si>
  <si>
    <t>ΑΧΙΛΛΕΥΣ</t>
  </si>
  <si>
    <t>ΑΙ761960</t>
  </si>
  <si>
    <t>1658,2</t>
  </si>
  <si>
    <t>1072-1071-1078-1085-1086-1088-1083-1089</t>
  </si>
  <si>
    <t>ΠΑΛΛΑΣ</t>
  </si>
  <si>
    <t>ΑΚ975783</t>
  </si>
  <si>
    <t>ΑΓΓΕΛΗΣ</t>
  </si>
  <si>
    <t>Φ213211</t>
  </si>
  <si>
    <t>1070-1071-1072-1073-1074-1075-1076-1077-1078-1079-1080-1081-1082-1083-1084-1085-1086-1087-1088-1089-1090-1091-1092-1069-1005</t>
  </si>
  <si>
    <t>ΚΥΖΕΡΙΔΟΥ</t>
  </si>
  <si>
    <t>ΑΜ253652</t>
  </si>
  <si>
    <t>1657,8</t>
  </si>
  <si>
    <t>1078-1079</t>
  </si>
  <si>
    <t>ΒΙΤΣΑ</t>
  </si>
  <si>
    <t>ΑΗ916691</t>
  </si>
  <si>
    <t>1657,7</t>
  </si>
  <si>
    <t>ΔΗΜΗΤΡΑΚΟΠΟΥΛΟΥ</t>
  </si>
  <si>
    <t>ΕΛΙΝΑ</t>
  </si>
  <si>
    <t>ΑΗ732069</t>
  </si>
  <si>
    <t>ΜΑΤΘΑΙΟΥ</t>
  </si>
  <si>
    <t>ΑΒ693802</t>
  </si>
  <si>
    <t>1657,5</t>
  </si>
  <si>
    <t>ΒΑΣΙΛΕΙΟΥ</t>
  </si>
  <si>
    <t>Φ257999</t>
  </si>
  <si>
    <t>1656,5</t>
  </si>
  <si>
    <t>1085-1081-1069-1073-1078-1072-1089-1079-1086-1074-1075-1076-1077-1087</t>
  </si>
  <si>
    <t>ΒΟΥΤΣΙΝΑ</t>
  </si>
  <si>
    <t>ΠΕΡΣΕΦΟΝΗ ΚΑΛΛΙΟΠΗ</t>
  </si>
  <si>
    <t>ΠΑΝΑΓΗΣ</t>
  </si>
  <si>
    <t>ΑΕ091018</t>
  </si>
  <si>
    <t>698,5</t>
  </si>
  <si>
    <t>1072-1071-1089-1088-1085-1082-1083-1086-1073-1078-1079-1081-1084-1074-1075-1076-1077-1087-1091</t>
  </si>
  <si>
    <t>ΠΛΕΤΣΗΣ</t>
  </si>
  <si>
    <t>ΑΗ004721</t>
  </si>
  <si>
    <t>1656,2</t>
  </si>
  <si>
    <t>ΤΣΙΡΙΚΟΓΛΟΥ</t>
  </si>
  <si>
    <t>ΑΕ309047</t>
  </si>
  <si>
    <t>1655,1</t>
  </si>
  <si>
    <t>ΠΑΤΣΙΑ</t>
  </si>
  <si>
    <t>ΑΝ409467</t>
  </si>
  <si>
    <t>1079-1078-1073-1085-1088-1089</t>
  </si>
  <si>
    <t>ΛΥΤΟΠΟΥΛΟΣ</t>
  </si>
  <si>
    <t>ΦΩΤΙΟΣ</t>
  </si>
  <si>
    <t>ΑΝ483785</t>
  </si>
  <si>
    <t>ΚΑΓΙΑΝΤΑΛΙΔΗΣ</t>
  </si>
  <si>
    <t>ΑΒ742701</t>
  </si>
  <si>
    <t>1653,5</t>
  </si>
  <si>
    <t>ΤΖΑΛΑΜΟΥΡΑ</t>
  </si>
  <si>
    <t>ΜΑΤΙΝΑ</t>
  </si>
  <si>
    <t>ΑΖ761883</t>
  </si>
  <si>
    <t>1653,3</t>
  </si>
  <si>
    <t>1083-1082-1085-1069-1088-1089-1073-1078-1081-1080</t>
  </si>
  <si>
    <t>ΚΑΜΑΡΑ</t>
  </si>
  <si>
    <t>ΜΑΡΙΑ ΙΟΥΛΙΑ</t>
  </si>
  <si>
    <t>ΑΙ279530</t>
  </si>
  <si>
    <t>1653,2</t>
  </si>
  <si>
    <t>1069-1085-1073-1078-1081-1089-1079-1072-1074-1075-1076-1077</t>
  </si>
  <si>
    <t>ΔΗΜΗΤΡΙΑΔΗΣ</t>
  </si>
  <si>
    <t>ΑΚ659785</t>
  </si>
  <si>
    <t>1652,6</t>
  </si>
  <si>
    <t>1078-1080-1073-1079</t>
  </si>
  <si>
    <t>ΓΚΟΥΛΟΥΝΤ</t>
  </si>
  <si>
    <t>ΣΑΜΙΑ</t>
  </si>
  <si>
    <t>ΑΜΠΝΤΕΛ ΑΖΙΖ</t>
  </si>
  <si>
    <t>ΑΜ009059</t>
  </si>
  <si>
    <t>1652,2</t>
  </si>
  <si>
    <t>1072-1071-1005-1089</t>
  </si>
  <si>
    <t>ΛΑΜΠΡΙΝΟΥ</t>
  </si>
  <si>
    <t>ΕΥΛΑΛΙΑ</t>
  </si>
  <si>
    <t>Π330281</t>
  </si>
  <si>
    <t>ΤΖΑΝΑΚΗΣ</t>
  </si>
  <si>
    <t>ΑΝ458496</t>
  </si>
  <si>
    <t>1651,8</t>
  </si>
  <si>
    <t>1075-1074-1077-1076</t>
  </si>
  <si>
    <t>ΞΗΝΤΑΡΑ</t>
  </si>
  <si>
    <t>ΜΑΡΙΑ-ΑΜΑΛΙΑ</t>
  </si>
  <si>
    <t>ΑΕ487239</t>
  </si>
  <si>
    <t>763,4</t>
  </si>
  <si>
    <t>1651,4</t>
  </si>
  <si>
    <t>ΚΟΥΤΣΟΓΙΑΝΝΗΣ</t>
  </si>
  <si>
    <t>ΑΗ863625</t>
  </si>
  <si>
    <t>1648,4</t>
  </si>
  <si>
    <t>1079-1092-1078-1073-1082-1083-1085</t>
  </si>
  <si>
    <t>ΜΕΡΕΔΙΤΗ</t>
  </si>
  <si>
    <t>ΑΗ990216</t>
  </si>
  <si>
    <t>1647,4</t>
  </si>
  <si>
    <t>ΣΙΟΥΤΑΣ</t>
  </si>
  <si>
    <t>ΑΕ316290</t>
  </si>
  <si>
    <t>1647,3</t>
  </si>
  <si>
    <t>1069-1088-1082-1070-1086-1087</t>
  </si>
  <si>
    <t>ΚΑΡΑΓΙΑΝΝΗ</t>
  </si>
  <si>
    <t>ΑΚ938498</t>
  </si>
  <si>
    <t>1647,1</t>
  </si>
  <si>
    <t>1078-1073-1079-1080-1081-1085-1086-1082-1083-1069-1088-1072-1089-1071-1074-1075-1076-1077-1091-1087-1084-1070-1090-1092</t>
  </si>
  <si>
    <t>ΑΓΓΕΛΟΠΟΥΛΟΣ</t>
  </si>
  <si>
    <t>Ν105779</t>
  </si>
  <si>
    <t>688,6</t>
  </si>
  <si>
    <t>1646,6</t>
  </si>
  <si>
    <t>1069-1070-1071-1072-1073-1074-1075-1076-1077-1078-1079-1080-1081-1082-1083-1084-1085-1086-1087-1088-1089-1090-1091-1092</t>
  </si>
  <si>
    <t>ΠΑΝΔΡΕΜΕΝΟΥ</t>
  </si>
  <si>
    <t>Χ779707</t>
  </si>
  <si>
    <t>1645,9</t>
  </si>
  <si>
    <t>1070-1078-1073-1072-1071-1085-1088-1069-1083-1082-1089-1086-1091-1090-1092-1087-1077-1076-1075-1081-1074-1079-1080-1084-1005</t>
  </si>
  <si>
    <t>ΚΕΡΚΕΜΕΖΟΣ</t>
  </si>
  <si>
    <t>ΑΕ745418</t>
  </si>
  <si>
    <t>1645,4</t>
  </si>
  <si>
    <t>ΤΣΟΥΛΗ</t>
  </si>
  <si>
    <t>ΚΙΜΩΝ</t>
  </si>
  <si>
    <t>ΑΙ254015</t>
  </si>
  <si>
    <t>1644,8</t>
  </si>
  <si>
    <t>1078-1081-1073-1088-1069-1082-1083-1085-1089-1071-1072-1086-1079-1074-1075-1076-1077-1091-1087</t>
  </si>
  <si>
    <t>ΓΑΡΔΙΚΟΥ</t>
  </si>
  <si>
    <t>ΑΙ254861</t>
  </si>
  <si>
    <t>1644,3</t>
  </si>
  <si>
    <t>1078-1079-1073-1081-1080-1092-1091-1090-1075-1077-1076-1074-1087-1088-1085-1083-1069-1082-1072-1070-1089-1084-1086-1071-1005</t>
  </si>
  <si>
    <t>ΠΑΠΑΔΟΠΟΥΛΟΥ</t>
  </si>
  <si>
    <t>ΑΕ414370</t>
  </si>
  <si>
    <t>1644,1</t>
  </si>
  <si>
    <t>1081-1085-1090-1078-1073-1079-1076-1087-1069-1080-1070-1089-1072-1075-1074-1077-1086</t>
  </si>
  <si>
    <t>ΤΑΛΛΑΡΟΥ</t>
  </si>
  <si>
    <t>ΜΑΡΙΑΝΘΗ</t>
  </si>
  <si>
    <t>Σ977705</t>
  </si>
  <si>
    <t>1088-1069-1082-1083-1085</t>
  </si>
  <si>
    <t>ΠΑΛΑΙΟΛΟΓΟΥ</t>
  </si>
  <si>
    <t>ΑΕ480752</t>
  </si>
  <si>
    <t>1643,7</t>
  </si>
  <si>
    <t>1072-1071-1005</t>
  </si>
  <si>
    <t>ΓΚΕΡΛΙΩΤΟΥ</t>
  </si>
  <si>
    <t>ΕΥΤΑΞΙΑ</t>
  </si>
  <si>
    <t>ΠΑΥΣΑΝΙΑΣ</t>
  </si>
  <si>
    <t>ΑΙ286378</t>
  </si>
  <si>
    <t>1643,5</t>
  </si>
  <si>
    <t>1083-1082-1088-1006</t>
  </si>
  <si>
    <t>ΦΩΤΙΟΥ</t>
  </si>
  <si>
    <t>ΑΦΡΟΔΙΤΗ</t>
  </si>
  <si>
    <t>ΑΕ116957</t>
  </si>
  <si>
    <t>1643,2</t>
  </si>
  <si>
    <t>1091-1087</t>
  </si>
  <si>
    <t>ΤΣΙΜΠΑ</t>
  </si>
  <si>
    <t>ΑΖ394089</t>
  </si>
  <si>
    <t>1642,2</t>
  </si>
  <si>
    <t>1079-1078-1073-1085-1089-1069-1072-1070</t>
  </si>
  <si>
    <t>ΘΕΟΔΩΡΟΠΟΥΛΟΥ</t>
  </si>
  <si>
    <t>Σ907159</t>
  </si>
  <si>
    <t>723,8</t>
  </si>
  <si>
    <t>1641,8</t>
  </si>
  <si>
    <t>1080-1078-1073-1072-1069-1088-1085-1071-1091-1087-1074-1075-1076-1077-1079-1082-1083-1084-1086-1089-1081-1005</t>
  </si>
  <si>
    <t>ΣΑΡΧΑΝΗ</t>
  </si>
  <si>
    <t>Χ899413</t>
  </si>
  <si>
    <t>1640,4</t>
  </si>
  <si>
    <t>1091-1090-1087-1086-1072-1070-1085-1088-1079</t>
  </si>
  <si>
    <t>ΠΑΥΛΟΠΟΥΛΟΥ</t>
  </si>
  <si>
    <t>ΑΖ400719</t>
  </si>
  <si>
    <t>1069-1088-1082-1085-1083</t>
  </si>
  <si>
    <t>ΧΑΤΖΗΔΑΚΗ</t>
  </si>
  <si>
    <t>ΦΑΝΗ</t>
  </si>
  <si>
    <t>Φ455444</t>
  </si>
  <si>
    <t>1076-1075-1074-1077-1087</t>
  </si>
  <si>
    <t>ΛΕΜΟΝΑΚΗΣ</t>
  </si>
  <si>
    <t>ΑΕ870743</t>
  </si>
  <si>
    <t>782,1</t>
  </si>
  <si>
    <t>1640,1</t>
  </si>
  <si>
    <t>1070-1085-1089-1083-1082-1069-1088-1073-1078-1079-1080-1081-1086-1090-1091-1092-1087-1084-1074-1075-1076-1077</t>
  </si>
  <si>
    <t>ΝΑΟΥΜ</t>
  </si>
  <si>
    <t>ΑΑ480303</t>
  </si>
  <si>
    <t>1639,7</t>
  </si>
  <si>
    <t>1079-1081-1073-1074-1075-1076-1077-1078-1085-1069-1088-1087-1072</t>
  </si>
  <si>
    <t>ΚΑΜΠΕΡΑΙ</t>
  </si>
  <si>
    <t>ΒΙΚΕΛ</t>
  </si>
  <si>
    <t>ΓΚΙΟΝ</t>
  </si>
  <si>
    <t>ΑΚ087190</t>
  </si>
  <si>
    <t>751,3</t>
  </si>
  <si>
    <t>1639,3</t>
  </si>
  <si>
    <t>1072-1073-1074-1075-1076-1077-1078-1087</t>
  </si>
  <si>
    <t>ΜΑΝΩΛΕΔΑΚΗΣ</t>
  </si>
  <si>
    <t>ΑΗ977575</t>
  </si>
  <si>
    <t>1090-1091-1087-1076-1075-1074-1077-1086-1072-1078-1070-1089-1085-1079-1088-1073-1071-1083-1082-1069-1081</t>
  </si>
  <si>
    <t>ΚΑΛΥΒΑ</t>
  </si>
  <si>
    <t>ΑΙ855045</t>
  </si>
  <si>
    <t>1638,2</t>
  </si>
  <si>
    <t>1085-1089-1088-1083-1069-1082-1078-1071-1072-1073-1079-1091-1074-1075-1077-1087-1076-1081-1086</t>
  </si>
  <si>
    <t>1637,9</t>
  </si>
  <si>
    <t>ΑΡΓΥΡΟΠΟΥΛΟΥ</t>
  </si>
  <si>
    <t>Φ332265</t>
  </si>
  <si>
    <t>ΑΠΟΣΤΟΛΑΚΗΣ</t>
  </si>
  <si>
    <t>ΑΗ957565</t>
  </si>
  <si>
    <t>788,7</t>
  </si>
  <si>
    <t>1636,7</t>
  </si>
  <si>
    <t>1075-1074-1077-1076-1087-1072-1089-1078-1085-1069-1086-1073-1079-1081</t>
  </si>
  <si>
    <t>ΠΡΩΙΜΑΚΗΣ</t>
  </si>
  <si>
    <t>ΑΙ968616</t>
  </si>
  <si>
    <t>1634,8</t>
  </si>
  <si>
    <t>1091-1090</t>
  </si>
  <si>
    <t>ΦΑΛΑΡΑ</t>
  </si>
  <si>
    <t>ΑΗ901862</t>
  </si>
  <si>
    <t>1633,8</t>
  </si>
  <si>
    <t>1069-1088-1079-1082-1083</t>
  </si>
  <si>
    <t>ΑΠΟΣΤΟΛΑΚΗ</t>
  </si>
  <si>
    <t>ΑΖ962570</t>
  </si>
  <si>
    <t>1633,5</t>
  </si>
  <si>
    <t>1072-1074-1075-1076-1077-1087-1090-1091-1092</t>
  </si>
  <si>
    <t>ΠΑΠΑΓΙΑΝΝΗ</t>
  </si>
  <si>
    <t>ΑΗ170555</t>
  </si>
  <si>
    <t>1078-1073-1080-1079-1085-1069-1081-1089-1072-1084-1076-1074-1075-1077-1087</t>
  </si>
  <si>
    <t>ΠΑΠΑΔΗΜΗΤΡΙΟΥ</t>
  </si>
  <si>
    <t>ΑΗ106113</t>
  </si>
  <si>
    <t>1633,2</t>
  </si>
  <si>
    <t>ΑΝΑΣΤΑΣΟΠΟΥΛΟΥ</t>
  </si>
  <si>
    <t>Χ874396</t>
  </si>
  <si>
    <t>ΣΤΑΜΑΤΑΚΗ</t>
  </si>
  <si>
    <t>ΘΕΑΝΩ</t>
  </si>
  <si>
    <t>ΑΚ159978</t>
  </si>
  <si>
    <t>1631,6</t>
  </si>
  <si>
    <t>1087-1091-1090</t>
  </si>
  <si>
    <t>ΚΑΡΑΘΑΝΟΣ</t>
  </si>
  <si>
    <t>ΑΖ671890</t>
  </si>
  <si>
    <t>1631,3</t>
  </si>
  <si>
    <t>1081-1088-1073-1078-1079-1082-1083-1074-1075-1076-1077-1071-1089</t>
  </si>
  <si>
    <t>ΞΗΡΟΜΕΡΙΤΗ</t>
  </si>
  <si>
    <t>Ρ892985</t>
  </si>
  <si>
    <t>1630,9</t>
  </si>
  <si>
    <t>1069-1085-1081-1078-1073-1089-1072-1080-1079-1082-1083-1088-1071-1070-1086-1087-1090-1074-1075-1076-1077-1091-1092-1084</t>
  </si>
  <si>
    <t>ΠΑΠΑΝΔΡΕΟΥ</t>
  </si>
  <si>
    <t>ΑΙ212041</t>
  </si>
  <si>
    <t>1629,6</t>
  </si>
  <si>
    <t>1070-1086</t>
  </si>
  <si>
    <t>ΓΚΟΥΜΑ</t>
  </si>
  <si>
    <t>ΑΚ414747</t>
  </si>
  <si>
    <t>1629,1</t>
  </si>
  <si>
    <t>1069-1088</t>
  </si>
  <si>
    <t>ΜΑΛΑΜΟΥΛΗ</t>
  </si>
  <si>
    <t>ΑΚ420588</t>
  </si>
  <si>
    <t>1085-1082-1083-1089-1071-1072-1069-1078</t>
  </si>
  <si>
    <t>ΗΛΙΑΔΗΣ</t>
  </si>
  <si>
    <t>ΑΙ842842</t>
  </si>
  <si>
    <t>1628,7</t>
  </si>
  <si>
    <t>1085-1069-1072-1073-1074-1075-1076-1077-1078-1079-1080-1081-1086-1087-1089</t>
  </si>
  <si>
    <t>ΜΑΡΚΟΥΛΑΚΗΣ</t>
  </si>
  <si>
    <t>Π234967</t>
  </si>
  <si>
    <t>1628,4</t>
  </si>
  <si>
    <t>1087-1086-1069</t>
  </si>
  <si>
    <t>ΜΠΑΛΟΥΚΑΣ</t>
  </si>
  <si>
    <t>ΑΗ821937</t>
  </si>
  <si>
    <t>1073-1083</t>
  </si>
  <si>
    <t>ΠΑΠΑΛΙΑΓΚΑ</t>
  </si>
  <si>
    <t>ΙΣΜΗΝΗ</t>
  </si>
  <si>
    <t>ΑΜ367785</t>
  </si>
  <si>
    <t>1069-1083-1088-1082-1085-1078-1079-1073-1081-1072-1071-1086-1074-1075-1076-1077</t>
  </si>
  <si>
    <t>ΜΟΛΥΒΙΑΤΗΣ</t>
  </si>
  <si>
    <t>ΑΗ936613</t>
  </si>
  <si>
    <t>1626,9</t>
  </si>
  <si>
    <t>1069-1074-1075-1076-1077-1078-1070-1073-1072-1081-1085-1087-1086-1090-1089-1079-1080</t>
  </si>
  <si>
    <t>ΠΑΠΑΛΑΣΚΑΡΗΣ</t>
  </si>
  <si>
    <t>ΑΒ459209</t>
  </si>
  <si>
    <t>1626,4</t>
  </si>
  <si>
    <t>1079-1078-1073-1083-1082-1085-1080-1081-1069-1088-1072-1089-1071-1070-1084-1086-1090-1091-1092-1074-1075-1076-1077-1087</t>
  </si>
  <si>
    <t>ΠΑΠΑΓΕΩΡΓΟΠΟΥΛΟΥ</t>
  </si>
  <si>
    <t>ΑΚ341915</t>
  </si>
  <si>
    <t>1625,6</t>
  </si>
  <si>
    <t>1078-1091-1087-1074-1077-1086-1085-1072-1069-1088-1089-1071-1081-1073-1082-1083-1005</t>
  </si>
  <si>
    <t>ΦΑΡΑΚΟΣ</t>
  </si>
  <si>
    <t>ΑΕ581734</t>
  </si>
  <si>
    <t>1625,4</t>
  </si>
  <si>
    <t>1072-1086-1085-1089-1070-1069</t>
  </si>
  <si>
    <t>ΣΟΥΛΙΩΤΗΣ</t>
  </si>
  <si>
    <t>ΑΧΙΛΛΕΑΣ</t>
  </si>
  <si>
    <t>ΑΖ761902</t>
  </si>
  <si>
    <t>1624,7</t>
  </si>
  <si>
    <t>1069-1082-1083-1085-1088-1078-1073-1080-1081-1079-1089-1091-1092-1090-1074-1075-1076-1077-1072-1071-1070-1086-1087-1084</t>
  </si>
  <si>
    <t>Π849027</t>
  </si>
  <si>
    <t>1624,6</t>
  </si>
  <si>
    <t>1070-1069-1078-1086-1085-1072-1089-1079-1081-1073-1087-1074-1075-1076-1077-1090-1080</t>
  </si>
  <si>
    <t>ΚΑΤΣΙΑΝΗΣ</t>
  </si>
  <si>
    <t>ΑΖ672304</t>
  </si>
  <si>
    <t>716,1</t>
  </si>
  <si>
    <t>1624,1</t>
  </si>
  <si>
    <t>1083-1069-1082-1085-1088-1078-1089</t>
  </si>
  <si>
    <t>ΜΠΑΧΛΙΤΖΑΝΑΚΗΣ</t>
  </si>
  <si>
    <t>ΑΚ746466</t>
  </si>
  <si>
    <t>1075-1076-1074-1077-1087-1090-1091</t>
  </si>
  <si>
    <t>ΚΑΡΑΣΤΕΡΓΙΟΥ</t>
  </si>
  <si>
    <t>ΑΝ181051</t>
  </si>
  <si>
    <t>1078-1073-1083-1088-1069-1080-1081-1079-1082-1089-1071-1085-1072-1070-1084-1086</t>
  </si>
  <si>
    <t>1622,7</t>
  </si>
  <si>
    <t>ΑΕ191485</t>
  </si>
  <si>
    <t>1622,3</t>
  </si>
  <si>
    <t>Ρ982290</t>
  </si>
  <si>
    <t>1089-1086</t>
  </si>
  <si>
    <t>ΤΣΙΑΚΙΡΙΔΟΥ</t>
  </si>
  <si>
    <t>ΑΕ654548</t>
  </si>
  <si>
    <t>ΒΑΣΙΛΕΙΑΔΗΣ</t>
  </si>
  <si>
    <t>ΙΩΑΝΝΗΣ ΕΥΑΓΓΕΛΟΣ</t>
  </si>
  <si>
    <t>ΚΑΛΛΙΝΙΚΟΣ</t>
  </si>
  <si>
    <t>ΑΕ414514</t>
  </si>
  <si>
    <t>1620,2</t>
  </si>
  <si>
    <t>1079-1078-1091-1074-1075-1076-1077-1087-1084-1085-1072-1071-1082-1083-1081-1069-1088-1073-1086-1089</t>
  </si>
  <si>
    <t>ΛΑΜΠΡΙΝΗ</t>
  </si>
  <si>
    <t>ΑΖ266330</t>
  </si>
  <si>
    <t>1619,9</t>
  </si>
  <si>
    <t>1085-1069-1082-1083-1088-1089</t>
  </si>
  <si>
    <t>ΔΑΣΚΑΛΟΠΟΥΛΟΣ</t>
  </si>
  <si>
    <t>ΑΖ721333</t>
  </si>
  <si>
    <t>1069-1072-1073-1074-1075-1076-1077-1078-1079-1081-1085-1086-1087-1089-1070</t>
  </si>
  <si>
    <t>ΚΑΝΔΕΡΑΚΗΣ</t>
  </si>
  <si>
    <t>Χ856021</t>
  </si>
  <si>
    <t>1619,6</t>
  </si>
  <si>
    <t>1075-1076-1077-1087-1074-1091-1078-1072-1071-1081-1085-1079-1073-1070-1082-1083-1088-1069-1089-1086</t>
  </si>
  <si>
    <t>ΚΑΝΑΚΑΡΗΣ</t>
  </si>
  <si>
    <t>ΑΜ277449</t>
  </si>
  <si>
    <t>761,2</t>
  </si>
  <si>
    <t>1619,2</t>
  </si>
  <si>
    <t>ΛΙΤΙΝΑ</t>
  </si>
  <si>
    <t>ΙΦΙΓΕΝΕΙΑ</t>
  </si>
  <si>
    <t>ΑΜ292360</t>
  </si>
  <si>
    <t>1618,8</t>
  </si>
  <si>
    <t>1079-1087</t>
  </si>
  <si>
    <t>ΡΙΖΟΥ</t>
  </si>
  <si>
    <t>ΑΗ273277</t>
  </si>
  <si>
    <t>1617,7</t>
  </si>
  <si>
    <t>1069-1085-1081-1073-1078-1079-1089-1072-1087-1074-1075-1076-1077-1086</t>
  </si>
  <si>
    <t>ΚΑΛΟΓΙΑΝΝΗΣ</t>
  </si>
  <si>
    <t>ΑΙ302000</t>
  </si>
  <si>
    <t>1081-1073-1085-1078-1082-1079-1069-1074-1075-1076-1077-1087-1072-1086-1089</t>
  </si>
  <si>
    <t>1617,5</t>
  </si>
  <si>
    <t>ΑΒΡΑΑΜ</t>
  </si>
  <si>
    <t>ΑΕ664508</t>
  </si>
  <si>
    <t>1617,2</t>
  </si>
  <si>
    <t>1069-1078-1073-1080-1081-1082-1085-1086-1077-1079-1087-1089-1090-1072</t>
  </si>
  <si>
    <t>ΜΠΑΙΡΑΚΤΑΡΗ</t>
  </si>
  <si>
    <t>Χρυσούλα</t>
  </si>
  <si>
    <t>Χ004659</t>
  </si>
  <si>
    <t>667,7</t>
  </si>
  <si>
    <t>1615,7</t>
  </si>
  <si>
    <t>1070-1086-1085-1089-1072-1078-1071-1074-1075-1076-1077-1090-1091-1087-1069-1088-1082-1083-1073-1081-1080-1079-1084</t>
  </si>
  <si>
    <t>ΔΙΑΜΑΝΤΟΠΟΥΛΟΣ</t>
  </si>
  <si>
    <t>ΓΕΩΡΓΙΟΣ - ΣΤΕΦΑΝΟΣ</t>
  </si>
  <si>
    <t>Ρ870756</t>
  </si>
  <si>
    <t>1615,5</t>
  </si>
  <si>
    <t>1069-1072-1073-1074-1075-1076-1077-1078-1079-1081-1082-1085-1086-1087-1089-1090</t>
  </si>
  <si>
    <t>ΤΣΙΩΝΗ</t>
  </si>
  <si>
    <t>Ρ330741</t>
  </si>
  <si>
    <t>1614,8</t>
  </si>
  <si>
    <t>1081-1073-1069-1088-1085-1082-1083-1078-1070-1071-1005-1072-1079</t>
  </si>
  <si>
    <t>ΜΟΥΣΑΛΛΑΜ</t>
  </si>
  <si>
    <t>ΓΑΤΤΑΣ-ΚΩΝΣΤΑΝΤΙΝΟΣ</t>
  </si>
  <si>
    <t>ΣΑΛΗΜ</t>
  </si>
  <si>
    <t>ΑΚ898596</t>
  </si>
  <si>
    <t>1078-1073-1079-1081-1085-1072-1083</t>
  </si>
  <si>
    <t>ΓΡΟΝΤΗ</t>
  </si>
  <si>
    <t>Φ234852</t>
  </si>
  <si>
    <t>1614,7</t>
  </si>
  <si>
    <t>1614,3</t>
  </si>
  <si>
    <t>ΒΟΓΙΑΤΖΗΣ</t>
  </si>
  <si>
    <t>Χ422230</t>
  </si>
  <si>
    <t>1085-1083-1088-1082-1069-1089-1086-1072-1078-1079-1073-1081-1071-1005-1091-1087-1076-1074-1075-1077</t>
  </si>
  <si>
    <t>1613,5</t>
  </si>
  <si>
    <t>ΝΤΡΕΤΑΚΗΣ</t>
  </si>
  <si>
    <t>ΑΚ363762</t>
  </si>
  <si>
    <t>1613,3</t>
  </si>
  <si>
    <t>1077-1074-1076-1075</t>
  </si>
  <si>
    <t>ΜΠΑΛΑΜΠΑΝΗΣ</t>
  </si>
  <si>
    <t>Χ270293</t>
  </si>
  <si>
    <t>724,9</t>
  </si>
  <si>
    <t>1612,9</t>
  </si>
  <si>
    <t>1070-1078-1086-1085-1084-1072-1090-1069-1081-1073-1074-1075-1076-1077-1087-1079</t>
  </si>
  <si>
    <t>ΤΟΥΛΙΑ</t>
  </si>
  <si>
    <t>ΑΚ666063</t>
  </si>
  <si>
    <t>1612,2</t>
  </si>
  <si>
    <t>ΚΟΛΟΥΣΙΟΥ</t>
  </si>
  <si>
    <t>ΑΣΤΕΡΙΟΣ</t>
  </si>
  <si>
    <t>ΑΗ766766</t>
  </si>
  <si>
    <t>1083-1082-1088-1085-1078-1089-1072-1080-1079-1081-1073-1084-1071-1074-1075-1076-1077-1087-1086-1091-1092</t>
  </si>
  <si>
    <t>ΑΝΔΡΕΟΥ</t>
  </si>
  <si>
    <t>ΑΖ768791</t>
  </si>
  <si>
    <t>962,5</t>
  </si>
  <si>
    <t>1610,5</t>
  </si>
  <si>
    <t>1069-1089-1085-1081-1072-1073-1078-1079-1074-1075-1076-1077-1087-1086</t>
  </si>
  <si>
    <t>ΤΣΙΝΑΡΗΣ</t>
  </si>
  <si>
    <t>Χ224686</t>
  </si>
  <si>
    <t>1078-1073-1079-1081-1085-1069-1089-1072</t>
  </si>
  <si>
    <t>ΓΙΑΚΑΣ</t>
  </si>
  <si>
    <t>ΑΗ270249</t>
  </si>
  <si>
    <t>701,8</t>
  </si>
  <si>
    <t>1609,8</t>
  </si>
  <si>
    <t>1069-1088-1082-1083-1085-1089-1078-1081-1079-1073-1071-1072-1086-1087-1091</t>
  </si>
  <si>
    <t>ΜΠΛΑΝΤΖΟΥΚΑΣ</t>
  </si>
  <si>
    <t>ΑΕ461486</t>
  </si>
  <si>
    <t>1609,3</t>
  </si>
  <si>
    <t>1077-1076-1075-1074-1087-1091-1090-1070-1072-1078-1080-1085-1083-1089-1086-1088-1069-1082-1071-1073-1081-1079-1084</t>
  </si>
  <si>
    <t>ΝΟΤΑΡΑΣ</t>
  </si>
  <si>
    <t>ΑΙ848955</t>
  </si>
  <si>
    <t>1088-1069-1082-1083-1078-1085</t>
  </si>
  <si>
    <t>ΕΥΑΓΓΕΛΙΝΑΚΗΣ</t>
  </si>
  <si>
    <t>ΑΖ967441</t>
  </si>
  <si>
    <t>1075-1076-1074-1077-1087-1091-1085-1078-1089-1072-1069-1071-1073-1079-1082-1086-1081-1083-1088</t>
  </si>
  <si>
    <t>Τ987035</t>
  </si>
  <si>
    <t>1605,9</t>
  </si>
  <si>
    <t>1089-1078-1072-1074-1075-1076-1077-1087-1073-1085-1079-1081-1086</t>
  </si>
  <si>
    <t>Ρ987602</t>
  </si>
  <si>
    <t>1605,2</t>
  </si>
  <si>
    <t>ΑΛΕΞΙΟΥ</t>
  </si>
  <si>
    <t>ΑΕ324227</t>
  </si>
  <si>
    <t>1604,9</t>
  </si>
  <si>
    <t>1085-1083-1082-1088-1069-1089-1072-1071</t>
  </si>
  <si>
    <t>ΔΕΛΙΧΑ</t>
  </si>
  <si>
    <t>ΑΕ976537</t>
  </si>
  <si>
    <t>1089-1085-1069-1082-1072-1073-1081-1086-1087-1079-1077-1076-1078-1075-1074-1090-1080-1070</t>
  </si>
  <si>
    <t>ΠΙΧΟΥ</t>
  </si>
  <si>
    <t>ΑΚ437552</t>
  </si>
  <si>
    <t>1602,5</t>
  </si>
  <si>
    <t>1078-1073-1083-1080-1081-1085-1082-1088-1079-1069-1089-1091-1092-1090-1087-1074-1075-1076-1077-1086-1071-1072-1084-1005-1070</t>
  </si>
  <si>
    <t>ΚΟΤΑΚΟΥ</t>
  </si>
  <si>
    <t>ΑΕ309119</t>
  </si>
  <si>
    <t>1601,6</t>
  </si>
  <si>
    <t>1083-1069-1088-1082-1085-1073-1080-1081-1089-1079-1078-1071-1070-1072-1076-1087-1086-1084-1077-1075-1074-1090-1091-1092-1005</t>
  </si>
  <si>
    <t>ΚΟΣΜΑΝΟΥ</t>
  </si>
  <si>
    <t>ΑΙ281269</t>
  </si>
  <si>
    <t>1083-1082</t>
  </si>
  <si>
    <t>ΚΟΥΜΟΥΛΙΔΟΥ</t>
  </si>
  <si>
    <t>ΘΕΟΦΙΛΙΑ</t>
  </si>
  <si>
    <t>ΔΗΜΗΤΡΙΟΣ ΚΟΥΜΟΥΛΙΔΗΣ</t>
  </si>
  <si>
    <t>ΑΖ379251</t>
  </si>
  <si>
    <t>1601,2</t>
  </si>
  <si>
    <t>ΚΑΡΔΑΛΑ</t>
  </si>
  <si>
    <t>ΑΑ438973</t>
  </si>
  <si>
    <t>1600,9</t>
  </si>
  <si>
    <t>1084-1072-1071-1089-1085-1086-1078-1079-1073-1088-1082-1083-1069-1081-1074-1075-1076-1077-1091-1087</t>
  </si>
  <si>
    <t>Σιάκου</t>
  </si>
  <si>
    <t>Ανατολή</t>
  </si>
  <si>
    <t>ΑΜ402404</t>
  </si>
  <si>
    <t>1600,1</t>
  </si>
  <si>
    <t>1070-1090</t>
  </si>
  <si>
    <t>ΚΟΚΚΑΛΗΣ</t>
  </si>
  <si>
    <t>ΑΚ968738</t>
  </si>
  <si>
    <t>741,4</t>
  </si>
  <si>
    <t>1599,4</t>
  </si>
  <si>
    <t>1088-1069-1083-1082-1085-1089-1070-1081-1078-1073-1071-1072-1079-1077-1091-1074-1075-1076-1086-1087-1090</t>
  </si>
  <si>
    <t>ΚΩΝΣΤΑΝΤΙΝΟΠΟΥΛΟΣ</t>
  </si>
  <si>
    <t>ΑΝ802771</t>
  </si>
  <si>
    <t>1599,3</t>
  </si>
  <si>
    <t>1072-1069-1073-1074-1075-1076-1077-1078-1079-1081-1085-1086-1087-1089</t>
  </si>
  <si>
    <t>ΚΕΛΕΣΙΔΗΣ</t>
  </si>
  <si>
    <t>ΑΙ672731</t>
  </si>
  <si>
    <t>1072-1071-1079-1091-1087-1075-1074-1077-1076-1089-1078-1083-1082-1085-1073-1081-1088-1086-1084</t>
  </si>
  <si>
    <t>ΛΙΟΛΙΟΥ</t>
  </si>
  <si>
    <t>ΒΗΘΛΕΕΜ</t>
  </si>
  <si>
    <t>ΑΗ314062</t>
  </si>
  <si>
    <t>1596,8</t>
  </si>
  <si>
    <t>1073-1078-1081-1079-1085-1069-1089-1072-1086-1074-1075-1076-1077</t>
  </si>
  <si>
    <t>ΑΡΧΟΝΤΑΚΗ</t>
  </si>
  <si>
    <t>ΑΖ970666</t>
  </si>
  <si>
    <t>1596,2</t>
  </si>
  <si>
    <t>ΔΑΝΙΗΛ</t>
  </si>
  <si>
    <t>ΑΕ476368</t>
  </si>
  <si>
    <t>738,1</t>
  </si>
  <si>
    <t>1596,1</t>
  </si>
  <si>
    <t>ΞΑΝΘΗΣ</t>
  </si>
  <si>
    <t>ΑΕ703003</t>
  </si>
  <si>
    <t>707,3</t>
  </si>
  <si>
    <t>1595,3</t>
  </si>
  <si>
    <t>1089-1071-1086-1072-1088-1085-1078-1073-1079-1091-1082-1083-1076-1077-1087-1074-1075-1069-1081</t>
  </si>
  <si>
    <t>1594,9</t>
  </si>
  <si>
    <t>ΜΠΙΛΙΩΝΗΣ</t>
  </si>
  <si>
    <t>Χ284659</t>
  </si>
  <si>
    <t>1593,7</t>
  </si>
  <si>
    <t>1072-1086-1085-1078-1089-1071-1073-1091-1087-1088-1079-1084-1082-1083-1069-1081-1076-1074-1075-1077</t>
  </si>
  <si>
    <t>ΤΥΧΟΜΙΔΟΥ</t>
  </si>
  <si>
    <t>ΑΒ344137</t>
  </si>
  <si>
    <t>1593,2</t>
  </si>
  <si>
    <t>1078-1079-1073-1087-1085-1082-1083-1072-1081-1071-1070-1091-1090-1089-1088-1086-1077-1076-1075-1074-1080-1084-1092-1021</t>
  </si>
  <si>
    <t>ΑΝΔΡΟΥΛΑΚΗΣ</t>
  </si>
  <si>
    <t>ΑΙ940154</t>
  </si>
  <si>
    <t>1074-1075-1076-1077-1087-1091</t>
  </si>
  <si>
    <t>ΘΕΟΔΩΡΑΚΟΠΟΥΛΟΣ</t>
  </si>
  <si>
    <t>ΑΒ627255</t>
  </si>
  <si>
    <t>1592,4</t>
  </si>
  <si>
    <t>1070-1005-1089-1072-1086-1085-1069-1073-1081-1078-1080-1079-1074-1075-1076-1077-1087-1090</t>
  </si>
  <si>
    <t>ΠΙΣΠΙΡΙΓΚΟΣ</t>
  </si>
  <si>
    <t>Ρ349864</t>
  </si>
  <si>
    <t>ΜΠΟΛΤΣΗ</t>
  </si>
  <si>
    <t>ΑΡΙΑΔΝΗ</t>
  </si>
  <si>
    <t>ΑΝ038395</t>
  </si>
  <si>
    <t>1591,8</t>
  </si>
  <si>
    <t>ΑΝΔΡΟΥΛΙΔΑΚΗ</t>
  </si>
  <si>
    <t>ΑΛΕΞΙΟΣ</t>
  </si>
  <si>
    <t>Σ364054</t>
  </si>
  <si>
    <t>1591,3</t>
  </si>
  <si>
    <t>1070-1072-1086-1089-1078-1085-1090-1076-1077-1075-1074-1069-1079-1087-1073-1081-1080</t>
  </si>
  <si>
    <t>ΠΑΥΛΟΓΙΑΝΝΗ</t>
  </si>
  <si>
    <t>ΑΚ345001</t>
  </si>
  <si>
    <t>ΑΒ521921</t>
  </si>
  <si>
    <t>1085-1069-1088-1082-1073-1083-1072-1071-1089-1078-1081-1080-1079-1070-1086-1091-1090-1087-1074-1075-1076-1077-1084</t>
  </si>
  <si>
    <t>ΤΣΕΠΟΥΡΑ</t>
  </si>
  <si>
    <t>Χ393344</t>
  </si>
  <si>
    <t>1589,6</t>
  </si>
  <si>
    <t>1081-1082-1084-1085-1079-1078-1073-1072-1071-1070-1076</t>
  </si>
  <si>
    <t>ΚΑΡΑΜΠΟΥΤΑΣ</t>
  </si>
  <si>
    <t>ΑΕ681364</t>
  </si>
  <si>
    <t>1589,1</t>
  </si>
  <si>
    <t>1078-1073-1079-1081-1080-1005</t>
  </si>
  <si>
    <t>ΤΣΟΜΠΑΝΕΛΛΗΣ</t>
  </si>
  <si>
    <t>ΘΕΜΙΣΤΟΚΛΗΣ</t>
  </si>
  <si>
    <t>ΠΡΟΚΟΠΙΟΣ</t>
  </si>
  <si>
    <t>ΑΚ456874</t>
  </si>
  <si>
    <t>1588,7</t>
  </si>
  <si>
    <t>ΚΟΤΡΩΤΣΙΟΣ</t>
  </si>
  <si>
    <t>ΑΜ389334</t>
  </si>
  <si>
    <t>1588,2</t>
  </si>
  <si>
    <t>1069-1088-1082-1083-1085-1089-1078-1072-1071-1070-1073-1086-1081-1084</t>
  </si>
  <si>
    <t>ΤΣΕΛΕΠΗ</t>
  </si>
  <si>
    <t>ΑΝΝΕΤΑ</t>
  </si>
  <si>
    <t>ΑΗ403239</t>
  </si>
  <si>
    <t>1079-1078-1073-1081-1085-1069-1089-1072-1086-1074-1075-1076-1077-1087</t>
  </si>
  <si>
    <t>ΑΒΡΑΜΙΔΗΣ</t>
  </si>
  <si>
    <t>ΑΝ203492</t>
  </si>
  <si>
    <t>1587,8</t>
  </si>
  <si>
    <t>ΣΟΥΛΙΩΤΗ</t>
  </si>
  <si>
    <t>ΑΚ406521</t>
  </si>
  <si>
    <t>1587,6</t>
  </si>
  <si>
    <t>1069-1082-1083-1085-1088-1078-1073-1080-1081-1089-1091-1092-1090-1074-1075-1076-1077-1079-1072-1071-1070-1086-1087-1084</t>
  </si>
  <si>
    <t>ΣΑΒΟΥΡΔΟΣ</t>
  </si>
  <si>
    <t>ΑΝ152646</t>
  </si>
  <si>
    <t>1586,9</t>
  </si>
  <si>
    <t>1072-1089-1086-1085-1069-1081-1073-1078-1079-1087-1075-1076-1074-1077</t>
  </si>
  <si>
    <t>ΓΚΛΑΒΙΝΗΣ</t>
  </si>
  <si>
    <t>Ν008514</t>
  </si>
  <si>
    <t>1586,2</t>
  </si>
  <si>
    <t>1071-1072-1078-1085-1089-1086-1079-1082-1083-1069-1088-1073-1081-1091-1087-1074-1075-1076-1077</t>
  </si>
  <si>
    <t>ΔΑΝΙΗΛΙΔΟΥ</t>
  </si>
  <si>
    <t>ΑΝ701049</t>
  </si>
  <si>
    <t>851,4</t>
  </si>
  <si>
    <t>1585,4</t>
  </si>
  <si>
    <t>ΚΛΕΙΣΙΑΡΗ</t>
  </si>
  <si>
    <t>ΑΗ767892</t>
  </si>
  <si>
    <t>1585,1</t>
  </si>
  <si>
    <t>1083-1069-1082-1088-1081-1085-1073-1078-1080-1089-1072-1079</t>
  </si>
  <si>
    <t>ΣΒΕΝΤΖΟΥΡΗ</t>
  </si>
  <si>
    <t>ΓΑΡΟΥΦΑΛΙΑ</t>
  </si>
  <si>
    <t>ΑΜ412525</t>
  </si>
  <si>
    <t>1069-1088-1082-1085-1083-1089-1072-1071-1005-1070-1078-1079-1073-1080-1081-1084-1086-1090-1091-1092-1074-1076-1075-1077-1087</t>
  </si>
  <si>
    <t>ΘΩΜΑΙΔΟΥ</t>
  </si>
  <si>
    <t>ΣΟΥΜΕΛΑ</t>
  </si>
  <si>
    <t>Ρ362104</t>
  </si>
  <si>
    <t>1081-1073-1078-1080</t>
  </si>
  <si>
    <t>ΒΕΛΛΙΑΣ</t>
  </si>
  <si>
    <t>ΑΚ490436</t>
  </si>
  <si>
    <t>1583,8</t>
  </si>
  <si>
    <t>1089-1069-1072-1070-1073-1085-1078-1079-1081-1086-1087-1074-1075-1076-1077</t>
  </si>
  <si>
    <t>ΧΡΙΣΤΟΔΟΥΛΙΔΗΣ</t>
  </si>
  <si>
    <t>ΔΗΜΟΣ</t>
  </si>
  <si>
    <t>Ρ798951</t>
  </si>
  <si>
    <t>1583,2</t>
  </si>
  <si>
    <t>ΚΩΤΗ</t>
  </si>
  <si>
    <t>Φ332395</t>
  </si>
  <si>
    <t>1582,5</t>
  </si>
  <si>
    <t>1088-1069-1091</t>
  </si>
  <si>
    <t>ΔΟΥΒΟΓΙΑΝΝΗ</t>
  </si>
  <si>
    <t>ΚΩΝΣΤΑΝΤΙΝΑ-ΠΑΡΑΣΚΕΥΗ</t>
  </si>
  <si>
    <t>Ρ915190</t>
  </si>
  <si>
    <t>1581,8</t>
  </si>
  <si>
    <t>1086-1091-1087-1085-1072-1089-1074-1075-1076-1077-1088-1069-1082-1083-1071-1070-1090</t>
  </si>
  <si>
    <t>ΑΓΓΕΛΑΚΗΣ</t>
  </si>
  <si>
    <t>Π541820</t>
  </si>
  <si>
    <t>1581,5</t>
  </si>
  <si>
    <t>1069-1070-1086-1087</t>
  </si>
  <si>
    <t>ΔΟΥΤΣΟΥ</t>
  </si>
  <si>
    <t>ΑΙ679808</t>
  </si>
  <si>
    <t>722,7</t>
  </si>
  <si>
    <t>1580,7</t>
  </si>
  <si>
    <t>1086-1085-1091-1092-1087-1075-1077-1074-1076-1072-1078</t>
  </si>
  <si>
    <t>ΑΙ295564</t>
  </si>
  <si>
    <t>861,3</t>
  </si>
  <si>
    <t>1580,3</t>
  </si>
  <si>
    <t>1088-1069-1082-1084-1085-1089-1081-1078-1072-1071-1070-1073-1079-1086-1087-1091-1074-1075-1076-1077-1090</t>
  </si>
  <si>
    <t>1579,5</t>
  </si>
  <si>
    <t>ΔΑΜΑΛΑΣ</t>
  </si>
  <si>
    <t>ΔΗΜΟΚΡΙΤΟΣ</t>
  </si>
  <si>
    <t>ΑΑ498538</t>
  </si>
  <si>
    <t>720,5</t>
  </si>
  <si>
    <t>1578,5</t>
  </si>
  <si>
    <t>1078-1086-1085-1079-1091-1090-1087-1088-1072-1074-1076-1075-1073-1077-1089-1070-1069-1071-1081-1082</t>
  </si>
  <si>
    <t>ΒΟΥΤΖΗ</t>
  </si>
  <si>
    <t>Φ088762</t>
  </si>
  <si>
    <t>1578,1</t>
  </si>
  <si>
    <t>ΜΕΡΚΟΒΙΤΗΣ</t>
  </si>
  <si>
    <t>ΑΒ810833</t>
  </si>
  <si>
    <t>1577,4</t>
  </si>
  <si>
    <t>1070-1090-1073-1078-1079-1069-1072-1085-1081-1086-1089-1087-1074-1076-1077-1075-1071</t>
  </si>
  <si>
    <t>Χ896880</t>
  </si>
  <si>
    <t>1577,3</t>
  </si>
  <si>
    <t>1086-1072-1091-1087-1074-1075-1076-1077-1071-1085-1088-1089-1069-1082-1083-1079-1078-1081-1073-1005</t>
  </si>
  <si>
    <t>ΣΤΑΡΙΔΑ</t>
  </si>
  <si>
    <t>ΑΒ702597</t>
  </si>
  <si>
    <t>1575,2</t>
  </si>
  <si>
    <t>1088-1069-1085-1083-1072-1079-1091-1087-1082-1073-1081-1075-1076-1077-1071-1086</t>
  </si>
  <si>
    <t>ΜΑΡΤΖΑΚΛΗΣ</t>
  </si>
  <si>
    <t>ΑΜ734450</t>
  </si>
  <si>
    <t>1086-1085-1078-1091-1077-1076-1072-1087-1074-1075-1088-1069-1070-1079-1083-1082-1089-1073-1071-1081-1080-1090-1092-1084-1005</t>
  </si>
  <si>
    <t>ΝΤΑΒΛΙΑΚΟΣ</t>
  </si>
  <si>
    <t>ΑΜ659771</t>
  </si>
  <si>
    <t>1574,7</t>
  </si>
  <si>
    <t>ΓΑΛΑΝΑΚΗ</t>
  </si>
  <si>
    <t>ΧΑΡΙΣ</t>
  </si>
  <si>
    <t>ΑΕ460655</t>
  </si>
  <si>
    <t>1573,7</t>
  </si>
  <si>
    <t>1075-1076-1077-1074-1087-1078-1079-1073-1081-1085-1086-1089-1072-1071-1070</t>
  </si>
  <si>
    <t>ΜΑΝΩΛΟΠΟΥΛΟΥ</t>
  </si>
  <si>
    <t>ΣΕΡΑΦΕΙΜ</t>
  </si>
  <si>
    <t>ΑΚ945838</t>
  </si>
  <si>
    <t>1572,3</t>
  </si>
  <si>
    <t>1069-1071-1072-1073-1074-1075-1076-1077-1078-1079-1081-1082-1083-1085-1088-1086-1087-1089-1091</t>
  </si>
  <si>
    <t>ΤΣΑΚΑΝΙΚΑ</t>
  </si>
  <si>
    <t xml:space="preserve">ΠΕΡΣΕΦΟΝΗ </t>
  </si>
  <si>
    <t>ΖΑΧΑΡΙΑΣ</t>
  </si>
  <si>
    <t>Χ801894</t>
  </si>
  <si>
    <t>1572,1</t>
  </si>
  <si>
    <t>1086-1069-1087</t>
  </si>
  <si>
    <t>ΧΑΤΖΗΒΑΣΙΛΕΙΟΥ</t>
  </si>
  <si>
    <t>ΑΗ683919</t>
  </si>
  <si>
    <t>1571,5</t>
  </si>
  <si>
    <t>1078-1073-1080-1079-1085-1082</t>
  </si>
  <si>
    <t>ΤΣΙΡΩΝΗ</t>
  </si>
  <si>
    <t>ΑΝ308946</t>
  </si>
  <si>
    <t>1571,2</t>
  </si>
  <si>
    <t>1078-1090-1091-1092-1075-1076-1077-1087-1079-1085-1086</t>
  </si>
  <si>
    <t>ΖΑΧΑΡΙΑΔΗΣ</t>
  </si>
  <si>
    <t>ΟΡΕΣΤΗΣ</t>
  </si>
  <si>
    <t>ΑΚ318624</t>
  </si>
  <si>
    <t>1078-1073-1080-1079-1081-1083-1082-1085-1088-1069-1070-1089-1071-1087-1084-1086-1090-1072-1076-1075-1074-1077</t>
  </si>
  <si>
    <t>ΑΖ405329</t>
  </si>
  <si>
    <t>1570,7</t>
  </si>
  <si>
    <t>ΔΙΧΑΛΑ</t>
  </si>
  <si>
    <t>ΑΕ408020</t>
  </si>
  <si>
    <t>1570,4</t>
  </si>
  <si>
    <t>1079-1078-1081-1085</t>
  </si>
  <si>
    <t>ΓΚΟΥΤΖΙΚΑ</t>
  </si>
  <si>
    <t>ΑΖ692289</t>
  </si>
  <si>
    <t>1569,4</t>
  </si>
  <si>
    <t>1078-1073-1081-1079-1085-1069</t>
  </si>
  <si>
    <t>ΙΟΡΔΑΝΗΣ</t>
  </si>
  <si>
    <t>ΑΗ655953</t>
  </si>
  <si>
    <t>1569,3</t>
  </si>
  <si>
    <t>1078-1073-1080-1079-1081-1085-1083-1088-1086-1091-1092-1090-1075-1076-1077-1089-1072-1069-1082-1074-1071-1087-1084-1070</t>
  </si>
  <si>
    <t>ΚΑΡΑΝΙΚΑ</t>
  </si>
  <si>
    <t>Ξ712244</t>
  </si>
  <si>
    <t>1085-1069-1090-1089-1087-1070</t>
  </si>
  <si>
    <t>ΒΑΡΕΛΙΔΟΥ</t>
  </si>
  <si>
    <t>ΦΙΛΙΑ</t>
  </si>
  <si>
    <t>Φ261875</t>
  </si>
  <si>
    <t>710,6</t>
  </si>
  <si>
    <t>1568,6</t>
  </si>
  <si>
    <t>1079-1075-1076-1077-1078-1081-1085-1086-1087-1090</t>
  </si>
  <si>
    <t>ΔΑΣΚΑΛΟΥ</t>
  </si>
  <si>
    <t>ΑΜ790439</t>
  </si>
  <si>
    <t>1567,1</t>
  </si>
  <si>
    <t>1069-1078-1073-1081-1079-1085-1072-1089-1086-1087-1074-1075-1076-1077</t>
  </si>
  <si>
    <t>ΚΟΥΤΣΟΓΙΑΝΝΗ</t>
  </si>
  <si>
    <t>ΑΖ370545</t>
  </si>
  <si>
    <t>678,7</t>
  </si>
  <si>
    <t>1566,7</t>
  </si>
  <si>
    <t>1078-1079-1083-1082-1085-1073-1081-1074-1075-1076-1077-1091-1087-1072-1089-1071-1088-1069-1086</t>
  </si>
  <si>
    <t>ΙΩΣΗΦ</t>
  </si>
  <si>
    <t>ΑΒ851771</t>
  </si>
  <si>
    <t>1085-1082-1083-1088</t>
  </si>
  <si>
    <t>ΚΥΠΡΙΩΤΑΚΗ</t>
  </si>
  <si>
    <t>Τ331490</t>
  </si>
  <si>
    <t>1565,3</t>
  </si>
  <si>
    <t>1075-1076-1077-1074</t>
  </si>
  <si>
    <t>ΛΕΣΠΟΥΡΙΔΟΥ</t>
  </si>
  <si>
    <t>ΠΥΘΑΓΟΡΑΣ</t>
  </si>
  <si>
    <t>ΑΚ291225</t>
  </si>
  <si>
    <t>1565,2</t>
  </si>
  <si>
    <t>1078-1073-1081-1083-1082-1085-1069-1088-1079-1089-1071-1072-1091-1076-1075-1077-1074</t>
  </si>
  <si>
    <t>ΠΙΤΟΥΡΑΣ</t>
  </si>
  <si>
    <t>ΑΖ213789</t>
  </si>
  <si>
    <t>676,5</t>
  </si>
  <si>
    <t>1564,5</t>
  </si>
  <si>
    <t>ΤΑΣΣΟΣ</t>
  </si>
  <si>
    <t>ΑΗ901125</t>
  </si>
  <si>
    <t>1563,2</t>
  </si>
  <si>
    <t>1079-1078-1085-1087-1091-1090-1092-1069-1070-1071-1073-1072-1074-1075-1076-1077-1081-1082-1083-1086-1088-1089</t>
  </si>
  <si>
    <t>ΠΑΠΑΧΑΡΙΣΙΟΥ</t>
  </si>
  <si>
    <t>Τ928030</t>
  </si>
  <si>
    <t>1562,1</t>
  </si>
  <si>
    <t>1081-1073-1082-1083-1069-1088-1085</t>
  </si>
  <si>
    <t>ΨΥΛΛΑ</t>
  </si>
  <si>
    <t>ΕΛΕΝΗ ΜΑΡΙΑ</t>
  </si>
  <si>
    <t>Χ923467</t>
  </si>
  <si>
    <t>1561,7</t>
  </si>
  <si>
    <t>1085-1074-1075-1076-1077-1087-1091-1092-1089-1086-1078-1072-1071</t>
  </si>
  <si>
    <t>ΜΑΘΙΟΥΔΑΚΗ</t>
  </si>
  <si>
    <t>ΝΕΚΤΑΡΙΑ</t>
  </si>
  <si>
    <t>Χ963483</t>
  </si>
  <si>
    <t>702,9</t>
  </si>
  <si>
    <t>1560,9</t>
  </si>
  <si>
    <t>1091-1087-1069-1086-1092-1090-1074-1075-1076-1077-1078-1088-1085-1070-1079-1073-1072-1082-1083-1089-1084-1080-1071-1081</t>
  </si>
  <si>
    <t>ΛΑΔΙΑ</t>
  </si>
  <si>
    <t>ΑΖ243715</t>
  </si>
  <si>
    <t>1559,4</t>
  </si>
  <si>
    <t>1070-1081-1078-1073-1069-1088-1082-1083-1085-1090-1091-1092-1074-1075-1076-1077</t>
  </si>
  <si>
    <t>ΓΕΩΡΓΟΥΛΙΑΣ</t>
  </si>
  <si>
    <t>ΑΣΗΜΑΚΗΣ</t>
  </si>
  <si>
    <t>Τ269890</t>
  </si>
  <si>
    <t>690,8</t>
  </si>
  <si>
    <t>1558,8</t>
  </si>
  <si>
    <t>1086-1078-1072-1073-1069-1081-1089-1085-1079-1091-1087-1075-1076-1077-1074</t>
  </si>
  <si>
    <t>ΑΘΗΝΑΙΟΣ</t>
  </si>
  <si>
    <t>ΑΚ452398</t>
  </si>
  <si>
    <t>1558,3</t>
  </si>
  <si>
    <t>ΤΖΑΡΑΛΗΣ</t>
  </si>
  <si>
    <t>ΑΗ185295</t>
  </si>
  <si>
    <t>1085-1069-1081-1073-1089-1090-1086-1079-1072-1082-1070-1078</t>
  </si>
  <si>
    <t>ΒΑΣΙΛΕΙΑΔΟΥ</t>
  </si>
  <si>
    <t>ΑΖ869345</t>
  </si>
  <si>
    <t>1558,1</t>
  </si>
  <si>
    <t>1079-1070-1088-1069-1078-1080-1081-1073-1085-1083-1082-1089-1071-1072-1005-1086-1074-1075-1076-1087-1091-1077</t>
  </si>
  <si>
    <t>ΑΜ373801</t>
  </si>
  <si>
    <t>1557,2</t>
  </si>
  <si>
    <t>1069-1085-1088-1083-1082</t>
  </si>
  <si>
    <t>ΣΠΥΡΙΔΟΥΛΑ</t>
  </si>
  <si>
    <t>ΑΙ527003</t>
  </si>
  <si>
    <t>1556,5</t>
  </si>
  <si>
    <t>1069-1082-1086</t>
  </si>
  <si>
    <t>ΧΑΤΖΗΓΙΑΝΝΟΠΟΥΛΟΣ</t>
  </si>
  <si>
    <t>Π525249</t>
  </si>
  <si>
    <t>1555,6</t>
  </si>
  <si>
    <t>ΣΤΑΘΟΠΟΥΛΟΣ</t>
  </si>
  <si>
    <t>Ξ638675</t>
  </si>
  <si>
    <t>1081-1073</t>
  </si>
  <si>
    <t>1553,3</t>
  </si>
  <si>
    <t>ΜΠΕΣΛΕΜΕΣ</t>
  </si>
  <si>
    <t>ΑΗ978427</t>
  </si>
  <si>
    <t>734,8</t>
  </si>
  <si>
    <t>1552,8</t>
  </si>
  <si>
    <t>1089-1069-1071-1072-1085</t>
  </si>
  <si>
    <t>ΛΑΙΑΚΗ</t>
  </si>
  <si>
    <t>ΤΑΤΙΑΝΗ</t>
  </si>
  <si>
    <t>ΑΜ828385</t>
  </si>
  <si>
    <t>1552,7</t>
  </si>
  <si>
    <t>1069-1082-1085-1088-1089</t>
  </si>
  <si>
    <t>ΜΑΛΚΟΤΣΗ</t>
  </si>
  <si>
    <t>ΑΖ170928</t>
  </si>
  <si>
    <t>1552,5</t>
  </si>
  <si>
    <t>1078-1083-1082-1085-1069-1073-1080</t>
  </si>
  <si>
    <t>ΑΖ779305</t>
  </si>
  <si>
    <t>1085-1082-1083</t>
  </si>
  <si>
    <t>ΑΛΤΑΝΟΠΟΥΛΟΣ</t>
  </si>
  <si>
    <t>ΑΚ352090</t>
  </si>
  <si>
    <t>1552,1</t>
  </si>
  <si>
    <t>1072-1073-1074-1075-1076-1077-1078-1079-1081-1085-1086-1087-1089</t>
  </si>
  <si>
    <t>1551,7</t>
  </si>
  <si>
    <t>ΔΟΥΚΕΡΗ</t>
  </si>
  <si>
    <t>ΜΑΡΙΑ ΕΛΕΝΗ</t>
  </si>
  <si>
    <t>Φ012218</t>
  </si>
  <si>
    <t>1551,2</t>
  </si>
  <si>
    <t>ΑΒ493172</t>
  </si>
  <si>
    <t>1071-1072-1089-1069-1088-1079-1085-1086-1073-1081-1084-1075-1074</t>
  </si>
  <si>
    <t>ΧΑΛΚΙΑΔΑΚΗΣ</t>
  </si>
  <si>
    <t>Τ328931</t>
  </si>
  <si>
    <t>1548,1</t>
  </si>
  <si>
    <t>ΔΕΛΛΑ</t>
  </si>
  <si>
    <t>ΑΚ927664</t>
  </si>
  <si>
    <t>1546,5</t>
  </si>
  <si>
    <t>1069-1087-1086</t>
  </si>
  <si>
    <t>ΜΟΛΔΟΒΑΝΗΣ</t>
  </si>
  <si>
    <t>ΟΔΥΣΣΕΑΣ</t>
  </si>
  <si>
    <t>Ρ179889</t>
  </si>
  <si>
    <t>1545,9</t>
  </si>
  <si>
    <t>1078-1086-1087-1069</t>
  </si>
  <si>
    <t>ΔΗΜΗΤΡΙΟΥ</t>
  </si>
  <si>
    <t>ΝΙΚΟΛΕΤΑ ΜΑΡΙΑ</t>
  </si>
  <si>
    <t>ΑΙ984837</t>
  </si>
  <si>
    <t>1072-1071-1089-1085-1086-1082-1083-1088-1069-1077-1074-1075-1076-1091-1087-1078-1079-1081-1073</t>
  </si>
  <si>
    <t>ΚΑΡΑΔΗΜΟΣ</t>
  </si>
  <si>
    <t>Ρ350258</t>
  </si>
  <si>
    <t>686,4</t>
  </si>
  <si>
    <t>1544,4</t>
  </si>
  <si>
    <t>1078-1081-1073-1083-1079-1085-1088-1069-1089-1082-1071-1072-1086-1075-1076-1077-1074-1087-1091</t>
  </si>
  <si>
    <t>ΜΙΧΟΣ</t>
  </si>
  <si>
    <t>ΑΙ958420</t>
  </si>
  <si>
    <t>1543,2</t>
  </si>
  <si>
    <t>1074-1076-1077-1075-1087</t>
  </si>
  <si>
    <t>ΚΑΛΗΣΠΕΡΑΚΗΣ</t>
  </si>
  <si>
    <t>Φ253018</t>
  </si>
  <si>
    <t>1541,8</t>
  </si>
  <si>
    <t>1087-1075-1077-1076-1074</t>
  </si>
  <si>
    <t>ΔΕΛΗΓΙΑΝΝΗ</t>
  </si>
  <si>
    <t>ΦΙΛΙΩ</t>
  </si>
  <si>
    <t>Ξ318706</t>
  </si>
  <si>
    <t>612,7</t>
  </si>
  <si>
    <t>1540,7</t>
  </si>
  <si>
    <t>ΓΟΥΛΑ</t>
  </si>
  <si>
    <t>ΑΑ312112</t>
  </si>
  <si>
    <t>1540,1</t>
  </si>
  <si>
    <t>ΜΑΝΟΥΣΟΥ</t>
  </si>
  <si>
    <t>ΑΒ140595</t>
  </si>
  <si>
    <t>1539,8</t>
  </si>
  <si>
    <t>ΑΘΑΝΑΣΟΠΟΥΛΟΥ</t>
  </si>
  <si>
    <t>ΜΑΡΙΑΝΑ</t>
  </si>
  <si>
    <t>ΑΖ204107</t>
  </si>
  <si>
    <t>1538,5</t>
  </si>
  <si>
    <t>1086-1072-1071-1089-1069-1085-1081-1073-1078-1079-1087-1075-1074-1076-1077</t>
  </si>
  <si>
    <t>ΜΕΛΙΓΑΛΙΩΤΗ</t>
  </si>
  <si>
    <t>ΑΑ 448636</t>
  </si>
  <si>
    <t>1537,4</t>
  </si>
  <si>
    <t>ΣΦΕΤΚΟΣ</t>
  </si>
  <si>
    <t>ΑΙ872119</t>
  </si>
  <si>
    <t>ΜΑΝΙΑΔΗ</t>
  </si>
  <si>
    <t>ΑΓΗΣΙΛΑΟΣ</t>
  </si>
  <si>
    <t>Χ849721</t>
  </si>
  <si>
    <t>1530,1</t>
  </si>
  <si>
    <t>1075-1076-1077-1074-1087</t>
  </si>
  <si>
    <t>ΛΑΖΑΚΙΔΟΥ</t>
  </si>
  <si>
    <t>ΑΙ324915</t>
  </si>
  <si>
    <t>1527,4</t>
  </si>
  <si>
    <t>1081-1005</t>
  </si>
  <si>
    <t>ΤΣΙΤΣΟΥΛΑΣ</t>
  </si>
  <si>
    <t>ΑΑ355317</t>
  </si>
  <si>
    <t>1525,3</t>
  </si>
  <si>
    <t>ΦΙΛΙΠΠΙΔΟΥ</t>
  </si>
  <si>
    <t>ΑΖ793164</t>
  </si>
  <si>
    <t>665,5</t>
  </si>
  <si>
    <t>1523,5</t>
  </si>
  <si>
    <t>1081-1073-1078-1085-1079-1083-1082-1069-1088-1072-1089-1071-1070-1091-1090-1075-1074-1077-1076-1087-1086-1005-1092</t>
  </si>
  <si>
    <t>ΜΑΝΩΛΑΚΕΛΛΗΣ</t>
  </si>
  <si>
    <t>ΕΥΣΤΡΑΤΙΟΣ ΜΙΧΑΗΛ</t>
  </si>
  <si>
    <t>ΑΕ929209</t>
  </si>
  <si>
    <t>664,4</t>
  </si>
  <si>
    <t>1522,4</t>
  </si>
  <si>
    <t>ΑΝΔΡΟΝΙΚΗ</t>
  </si>
  <si>
    <t>ΑΜ382619</t>
  </si>
  <si>
    <t>1521,5</t>
  </si>
  <si>
    <t>1085-1069-1078-1072-1089-1073-1079-1086-1081-1087-1074-1075-1076-1077</t>
  </si>
  <si>
    <t>ΤΖΑΜΤΖΗΣ</t>
  </si>
  <si>
    <t>ΑΕ399426</t>
  </si>
  <si>
    <t>1520,4</t>
  </si>
  <si>
    <t>ΙΩΑΝΝΙΔΟΥ</t>
  </si>
  <si>
    <t>ΑΗ378701</t>
  </si>
  <si>
    <t>1520,1</t>
  </si>
  <si>
    <t>1078-1079-1073-1081</t>
  </si>
  <si>
    <t>ΖΗΡΑ</t>
  </si>
  <si>
    <t>ΑΕ595389</t>
  </si>
  <si>
    <t>1519,2</t>
  </si>
  <si>
    <t>1088-1069-1085-1083-1078-1082-1072-1089-1073-1079-1081-1086-1071-1091-1087-1075-1077-1074-1076-1084</t>
  </si>
  <si>
    <t>ΧΑΡΑΛΑΜΠΙΔΗΣ</t>
  </si>
  <si>
    <t>ΑΖ678057</t>
  </si>
  <si>
    <t>1517,7</t>
  </si>
  <si>
    <t>1078-1073-1081-1079-1085-1069-1089-1072-1086-1074-1075-1076-1077-1087</t>
  </si>
  <si>
    <t>ΒΡΟΥΤΣΗ</t>
  </si>
  <si>
    <t>ΑΕ028298</t>
  </si>
  <si>
    <t>1517,1</t>
  </si>
  <si>
    <t>1072-1086-1085-1069-1078-1089</t>
  </si>
  <si>
    <t>ΠΑΠΑΓΕΩΡΓΙΟΥ</t>
  </si>
  <si>
    <t>ΑΕ203479</t>
  </si>
  <si>
    <t>1515,8</t>
  </si>
  <si>
    <t>1079-1069-1071-1072-1074-1075-1076-1077-1078-1081-1082-1083-1085-1086-1087-1088-1089</t>
  </si>
  <si>
    <t>ΠΑΡΑΣΚΑΚΗ</t>
  </si>
  <si>
    <t>ΑΑ494848</t>
  </si>
  <si>
    <t>1515,3</t>
  </si>
  <si>
    <t>1087-1077-1075-1076-1074-1072-1078-1086-1089-1085</t>
  </si>
  <si>
    <t>ΖΑΧΑΡΟΥΛΗ</t>
  </si>
  <si>
    <t>ΑΝ330524</t>
  </si>
  <si>
    <t>1515,1</t>
  </si>
  <si>
    <t>1083-1069-1082-1085-1088-1078-1081-1073-1071-1072-1079-1086-1074-1075-1076-1077-1087-1084</t>
  </si>
  <si>
    <t>ΚΑΡΦΑΚΗΣ</t>
  </si>
  <si>
    <t>Ρ682968</t>
  </si>
  <si>
    <t>1514,7</t>
  </si>
  <si>
    <t>ΝΤΑΙΛΙΑΝΑ</t>
  </si>
  <si>
    <t>Ρ469923</t>
  </si>
  <si>
    <t>1069-1089-1088-1082-1083</t>
  </si>
  <si>
    <t>ΠΑΠΑΣΩΤΗΡΙΟΥ</t>
  </si>
  <si>
    <t>Φ057505</t>
  </si>
  <si>
    <t>1513,8</t>
  </si>
  <si>
    <t>1072-1087-1086</t>
  </si>
  <si>
    <t>ΛΟΥΚΜΑ</t>
  </si>
  <si>
    <t>ΑΜ273822</t>
  </si>
  <si>
    <t>1512,5</t>
  </si>
  <si>
    <t>1078-1080-1079-1073</t>
  </si>
  <si>
    <t>ΠΕΤΡΟΠΟΥΛΟΥ</t>
  </si>
  <si>
    <t>ΑΙ253672</t>
  </si>
  <si>
    <t>1511,8</t>
  </si>
  <si>
    <t>1070-1085-1088</t>
  </si>
  <si>
    <t>ΚΩΝΣΤΑΝΤΙΝΟΥ</t>
  </si>
  <si>
    <t>Ρ410298</t>
  </si>
  <si>
    <t>1508,3</t>
  </si>
  <si>
    <t>1085-1089-1078-1079-1069-1072-1073-1086-1074-1075-1076-1077-1087-1081</t>
  </si>
  <si>
    <t>ΓΚΑΛΕ</t>
  </si>
  <si>
    <t>ΑΗ190783</t>
  </si>
  <si>
    <t>839,3</t>
  </si>
  <si>
    <t>1507,3</t>
  </si>
  <si>
    <t>1078-1079-1080-1073-1085-1088-1069-1070-1090-1091-1092-1087-1074-1075-1076-1077</t>
  </si>
  <si>
    <t>ΔΙΑΦΑ</t>
  </si>
  <si>
    <t>ΑΒ860577</t>
  </si>
  <si>
    <t>1506,4</t>
  </si>
  <si>
    <t>1081-1073-1078-1085-1069-1079-1082-1072-1089</t>
  </si>
  <si>
    <t>ΝΙΚΗΦΟΡΑΚΗ</t>
  </si>
  <si>
    <t>ΜΑΡΙΑ-ΕΜΜΑΝΟΥΕΛΑ</t>
  </si>
  <si>
    <t>Σ365052</t>
  </si>
  <si>
    <t>1506,1</t>
  </si>
  <si>
    <t>1070-1091-1090-1075-1076-1074-1077-1087-1072-1078-1086-1079-1088-1069-1073-1089-1085-1082-1083-1071-1081</t>
  </si>
  <si>
    <t>ΘΕΟΔΟΣΙΟΥ</t>
  </si>
  <si>
    <t>ΑΖ378162</t>
  </si>
  <si>
    <t>647,9</t>
  </si>
  <si>
    <t>1505,9</t>
  </si>
  <si>
    <t>1079-1069-1077-1071-1092-1080-1087-1081-1070-1084-1091-1078-1082-1090-1083-1089-1085-1074-1086-1076-1075-1088-1072-1073</t>
  </si>
  <si>
    <t>ΚΑΡΑΒΑΣΙΛΗΣ</t>
  </si>
  <si>
    <t>ΑΒ410246</t>
  </si>
  <si>
    <t>1504,5</t>
  </si>
  <si>
    <t>ΑΚ903136</t>
  </si>
  <si>
    <t>1504,3</t>
  </si>
  <si>
    <t>1078-1073-1079-1081-1085-1088-1069-1082-1083-1089-1072-1091-1087-1076-1075-1077-1086-1071</t>
  </si>
  <si>
    <t>ΣΦΥΡΗ</t>
  </si>
  <si>
    <t>ΑΦΡΟΔΙΤΗ-ΛΥΔΙΑ</t>
  </si>
  <si>
    <t>ΑΒ707866</t>
  </si>
  <si>
    <t>1504,2</t>
  </si>
  <si>
    <t>1078-1073-1091-1079-1081-1069-1085-1089-1070-1072-1090-1086-1074-1075-1076-1077-1087-1082-1083-1088-1071-1092-1080-1084-1005</t>
  </si>
  <si>
    <t>ΑΖ902473</t>
  </si>
  <si>
    <t>1504,1</t>
  </si>
  <si>
    <t>1087-1091-1076-1077-1074-1075</t>
  </si>
  <si>
    <t>ΑΗ 546873</t>
  </si>
  <si>
    <t>645,7</t>
  </si>
  <si>
    <t>1503,7</t>
  </si>
  <si>
    <t>1072-1089-1070-1071-1086-1085-1083</t>
  </si>
  <si>
    <t>ΔΙΑΜΑΝΤΗ</t>
  </si>
  <si>
    <t>ΑΙ855740</t>
  </si>
  <si>
    <t>1503,3</t>
  </si>
  <si>
    <t>1085-1082-1069-1083-1089-1072-1078-1079-1081-1073-1086-1087-1076-1077-1075-1074-1088-1071-1080-1070-1091-1092-1090-1084</t>
  </si>
  <si>
    <t>ΠΕΤΡΙΔΗΣ</t>
  </si>
  <si>
    <t>Τ417506</t>
  </si>
  <si>
    <t>1502,7</t>
  </si>
  <si>
    <t>ΞΟΥΡΙΔΑΣ</t>
  </si>
  <si>
    <t>ΑΖ721093</t>
  </si>
  <si>
    <t>742,5</t>
  </si>
  <si>
    <t>1500,5</t>
  </si>
  <si>
    <t>1081-1069-1082-1083-1071-1088-1078-1079-1073-1085</t>
  </si>
  <si>
    <t>ΑΔΑΜΙΔΗΣ</t>
  </si>
  <si>
    <t>Χ389399</t>
  </si>
  <si>
    <t>1499,7</t>
  </si>
  <si>
    <t>1081-1078-1073-1079-1085-1088-1083-1082-1069-1089-1071-1072-1086-1092-1091-1087-1077-1076-1075-1074</t>
  </si>
  <si>
    <t>ΤΣΟΓΓΑΣ</t>
  </si>
  <si>
    <t>ΑΒ684870</t>
  </si>
  <si>
    <t>1498,3</t>
  </si>
  <si>
    <t>1078-1079-1081-1073</t>
  </si>
  <si>
    <t>ΣΚΟΥΛΗΚΑΡΗ</t>
  </si>
  <si>
    <t>ΑΜ591883</t>
  </si>
  <si>
    <t>1075-1077-1076-1074</t>
  </si>
  <si>
    <t>ΤΣΑΝΤΙΚΙΔΗΣ</t>
  </si>
  <si>
    <t>ΑΙ350252</t>
  </si>
  <si>
    <t>1496,7</t>
  </si>
  <si>
    <t>1072-1073-1074-1075-1076-1077-1078-1079-1081-1069-1070-1071-1085-1086-1087-1089-1090-1091-1080-1092-1082-1083-1084-1088</t>
  </si>
  <si>
    <t>ΣΑΡΡΑ</t>
  </si>
  <si>
    <t>ΑΑ252105</t>
  </si>
  <si>
    <t>1494,6</t>
  </si>
  <si>
    <t>1078-1073-1080-1085-1089-1069-1070-1071-1072</t>
  </si>
  <si>
    <t>ΠΑΠΑΓΕΡΑΣΙΜΟΥ ΚΛΗΡΟΝΟΜΟΥ</t>
  </si>
  <si>
    <t>ΤΡΙΣΕΥΓΕΝΗ</t>
  </si>
  <si>
    <t>Φ202385</t>
  </si>
  <si>
    <t>1070-1072</t>
  </si>
  <si>
    <t>ΑΝΑΓΝΩΣΤΟΥ</t>
  </si>
  <si>
    <t>ΑΝ421775</t>
  </si>
  <si>
    <t>1493,4</t>
  </si>
  <si>
    <t>1085-1089-1078-1072-1079-1082-1069-1073-1074-1075-1076-1077-1081-1086-1087</t>
  </si>
  <si>
    <t>1489,6</t>
  </si>
  <si>
    <t>ΑΝΔΡΙΤΣΑΝΟΣ</t>
  </si>
  <si>
    <t>Χ929592</t>
  </si>
  <si>
    <t>ΜΑΚΡΗΣ</t>
  </si>
  <si>
    <t>ΑΚ418566</t>
  </si>
  <si>
    <t>1487,4</t>
  </si>
  <si>
    <t>ΦΩΤΑΚΗ</t>
  </si>
  <si>
    <t>ΑΙΜΙΛΙΑ</t>
  </si>
  <si>
    <t>ΑΜ965746</t>
  </si>
  <si>
    <t>1487,3</t>
  </si>
  <si>
    <t>ΜΠΡΙΑΝΑ</t>
  </si>
  <si>
    <t>ΕΡΣΗ ΕΥΑΓΓΕΛΙΑ</t>
  </si>
  <si>
    <t>Χ374866</t>
  </si>
  <si>
    <t>1069-1089-1085-1078-1071-1081-1072-1070-1073-1079-1005-1086</t>
  </si>
  <si>
    <t>ΔΟΛΙΑΝΙΤΟΥ</t>
  </si>
  <si>
    <t>ΣΟΦΙΑ ΤΖΕΝΗ</t>
  </si>
  <si>
    <t>ΑΕ908072</t>
  </si>
  <si>
    <t>1484,7</t>
  </si>
  <si>
    <t>1079-1075-1076-1077-1074-1078-1087-1069-1073-1085-1081-1089-1072</t>
  </si>
  <si>
    <t>ΛΑΜΠΡΟΥ</t>
  </si>
  <si>
    <t>ΑΕ763513</t>
  </si>
  <si>
    <t>1078-1079-1081-1085-1069-1073-1077-1070</t>
  </si>
  <si>
    <t>ΜΑΝΤΟΣ</t>
  </si>
  <si>
    <t>ΜΕΝΕΛΑΟΣ</t>
  </si>
  <si>
    <t>ΠΛΟΥΤΑΡΧΟΣ</t>
  </si>
  <si>
    <t>ΑΗ404601</t>
  </si>
  <si>
    <t>1483,7</t>
  </si>
  <si>
    <t>1079-1073-1085-1069-1081-1078-1089-1072-1090-1077-1076-1075-1074-1087</t>
  </si>
  <si>
    <t>1483,2</t>
  </si>
  <si>
    <t>ΚΑΤΩΤΡΙΩΤΟΥ</t>
  </si>
  <si>
    <t>Χ919673</t>
  </si>
  <si>
    <t>853,6</t>
  </si>
  <si>
    <t>1482,6</t>
  </si>
  <si>
    <t>ΜΕΡΜΗΓΚΑΣ</t>
  </si>
  <si>
    <t>ΑΙ303444</t>
  </si>
  <si>
    <t>ΜΗΝΑΣΙΔΗΣ</t>
  </si>
  <si>
    <t>ΑΗ809696</t>
  </si>
  <si>
    <t>1480,3</t>
  </si>
  <si>
    <t>1078-1073-1079-1085-1072-1081-1069-1086-1089-1075-1076-1087-1074-1077</t>
  </si>
  <si>
    <t>ΤΣΙΚΑΣ</t>
  </si>
  <si>
    <t>ΑΚ347150</t>
  </si>
  <si>
    <t>1478,2</t>
  </si>
  <si>
    <t>1086-1072-1087-1085-1089-1088-1070-1071-1073-1079-1084-1090-1078-1074-1075-1076-1077-1069-1082-1083-1080-1081</t>
  </si>
  <si>
    <t>ΑΕ217189</t>
  </si>
  <si>
    <t>1078-1073-1079-1076-1075-1074-1087</t>
  </si>
  <si>
    <t>ΚΑΤΩΠΟΔΗ</t>
  </si>
  <si>
    <t>Φ203912</t>
  </si>
  <si>
    <t>1474,9</t>
  </si>
  <si>
    <t>1072-1077-1091-1076-1075-1074-1087-1086-1089-1071-1088-1069-1085-1083-1082-1078-1073-1081-1079</t>
  </si>
  <si>
    <t>ΑΝΤΩΝΙΑΔΗΣ</t>
  </si>
  <si>
    <t>ΦΙΛΟΚΤΗΜΩΝ</t>
  </si>
  <si>
    <t>ΑΜ704961</t>
  </si>
  <si>
    <t>1474,2</t>
  </si>
  <si>
    <t>1078-1079-1073-1085-1081-1072-1089-1077-1069-1074-1075-1076-1086-1087-1091</t>
  </si>
  <si>
    <t>ΤΑΣΣΗΣ</t>
  </si>
  <si>
    <t>ΑΗ737444</t>
  </si>
  <si>
    <t>1473,2</t>
  </si>
  <si>
    <t>ΜΑΡΚΟΥ</t>
  </si>
  <si>
    <t>ΕΛΒΙΡΑ</t>
  </si>
  <si>
    <t>ΑΕ663769</t>
  </si>
  <si>
    <t>1471,8</t>
  </si>
  <si>
    <t>1078-1080-1073-1079-1081-1085-1070-1072-1089-1086-1090-1087-1074-1075-1076-1077</t>
  </si>
  <si>
    <t>ΧΑΝΔΡΙΝΟΣ</t>
  </si>
  <si>
    <t>ΑΚ955795</t>
  </si>
  <si>
    <t>1470,9</t>
  </si>
  <si>
    <t>ΝΤΟΜΟΥΧΤΣΗ</t>
  </si>
  <si>
    <t>ΑΒ809691</t>
  </si>
  <si>
    <t>1469,6</t>
  </si>
  <si>
    <t>1073-1081-1078-1070-1085-1089-1069-1086-1074-1075-1076-1077-1087</t>
  </si>
  <si>
    <t>ΤΣΕΚΟΥΡΑ</t>
  </si>
  <si>
    <t>ΑΖ480518</t>
  </si>
  <si>
    <t>610,5</t>
  </si>
  <si>
    <t>1468,5</t>
  </si>
  <si>
    <t>1082-1006</t>
  </si>
  <si>
    <t>ΤΣΑΡΠΑΛΗΣ</t>
  </si>
  <si>
    <t>Χ110051</t>
  </si>
  <si>
    <t>1463,8</t>
  </si>
  <si>
    <t>ΑΒ470353</t>
  </si>
  <si>
    <t>1461,9</t>
  </si>
  <si>
    <t>1084-1071-1072-1077-1089-1078-1069-1073-1079-1081-1082-1083-1085-1088-1074-1075-1076-1087-1086</t>
  </si>
  <si>
    <t>ΜΠΡΑΟΥΔΑΚΗ</t>
  </si>
  <si>
    <t>ΑΖ666419</t>
  </si>
  <si>
    <t>ΖΑΦΕΙΡΗΣ</t>
  </si>
  <si>
    <t>Ξ715456</t>
  </si>
  <si>
    <t>1458,6</t>
  </si>
  <si>
    <t>1069-1088-1085-1081-1089-1072-1073-1078-1075-1076-1087-1082-1083-1005</t>
  </si>
  <si>
    <t>ΜΑΓΚΛΗ</t>
  </si>
  <si>
    <t>ΑΙ598391</t>
  </si>
  <si>
    <t>1458,2</t>
  </si>
  <si>
    <t>ΑΠΟΣΤΟΛΟΠΟΥΛΟΣ</t>
  </si>
  <si>
    <t>ΑΖ218756</t>
  </si>
  <si>
    <t>1457,8</t>
  </si>
  <si>
    <t>ΟΥΤΣΑΣ</t>
  </si>
  <si>
    <t>Π862912</t>
  </si>
  <si>
    <t>1457,4</t>
  </si>
  <si>
    <t>1071-1089</t>
  </si>
  <si>
    <t>ΣΠΥΡΟΥΛΙΑΣ</t>
  </si>
  <si>
    <t>ΑΙ222909</t>
  </si>
  <si>
    <t>713,9</t>
  </si>
  <si>
    <t>1456,9</t>
  </si>
  <si>
    <t>1086-1072-1078-1089</t>
  </si>
  <si>
    <t>ΚΟΥΤΣΑΡΔΑΚΗΣ</t>
  </si>
  <si>
    <t>ΑΖ792370</t>
  </si>
  <si>
    <t>1454,3</t>
  </si>
  <si>
    <t>1091-1092-1090-1087-1074-1075-1076-1077-1078-1081-1085</t>
  </si>
  <si>
    <t>ΕΛΕΥΘΕΡΙΟΥ</t>
  </si>
  <si>
    <t>ΒΛΑΣΙΟΣ</t>
  </si>
  <si>
    <t>ΑΚ145204</t>
  </si>
  <si>
    <t>1453,6</t>
  </si>
  <si>
    <t>ΝΙΚΟΛΑΙΔΟΥ</t>
  </si>
  <si>
    <t>ΚΩΝΣΤΑΝΤΙΝΙΑ</t>
  </si>
  <si>
    <t>ΑΗ188865</t>
  </si>
  <si>
    <t>1452,2</t>
  </si>
  <si>
    <t>1081-1073-1082</t>
  </si>
  <si>
    <t>1451,8</t>
  </si>
  <si>
    <t>ΑΛΕΞΑΝΔΡΙΔΟΥ</t>
  </si>
  <si>
    <t>ΑΗ290403</t>
  </si>
  <si>
    <t>1078-1085-1081-1072-1073-1074-1075-1076-1077-1092-1088-1069-1071-1079-1089-1086-1087-1082-1083-1070</t>
  </si>
  <si>
    <t>ΔΕΡΒΙΣΗ</t>
  </si>
  <si>
    <t>ΑΖ843602</t>
  </si>
  <si>
    <t>ΚΡΑΤΗΜΕΝΟΣ</t>
  </si>
  <si>
    <t>ΑΚ358967</t>
  </si>
  <si>
    <t>1448,9</t>
  </si>
  <si>
    <t>1069-1071-1072-1073-1074-1075-1076-1086-1078-1082-1085-1091-1089-1087-1077-1083-1084-1088-1081-1080-1079</t>
  </si>
  <si>
    <t>ΑΘΑΝΑΣΙΑΔΟΥ</t>
  </si>
  <si>
    <t>ΑΖ157365</t>
  </si>
  <si>
    <t>1448,5</t>
  </si>
  <si>
    <t>ΣΤΑΜΑΤΗ</t>
  </si>
  <si>
    <t>ΒΑΛΑΣΙΑ</t>
  </si>
  <si>
    <t>ΑΖ672676</t>
  </si>
  <si>
    <t>1447,8</t>
  </si>
  <si>
    <t>1085-1088-1069-1083-1082-1078-1073-1089-1071-1079-1072-1081</t>
  </si>
  <si>
    <t>ΑΓΑΠΗΤΟΥ</t>
  </si>
  <si>
    <t>ΑΚ418567</t>
  </si>
  <si>
    <t>1446,3</t>
  </si>
  <si>
    <t>ΑΖ810409</t>
  </si>
  <si>
    <t>1073-1078-1081</t>
  </si>
  <si>
    <t>ΠΑΝΤΕΛΑΚΗ</t>
  </si>
  <si>
    <t>ΑΑ278285</t>
  </si>
  <si>
    <t>1443,2</t>
  </si>
  <si>
    <t>ΚΛΕΙΔΗΣ</t>
  </si>
  <si>
    <t>ΧΑΡΙΔΗΜΟΣ</t>
  </si>
  <si>
    <t>Χ000568</t>
  </si>
  <si>
    <t>1442,3</t>
  </si>
  <si>
    <t>1069-1071-1072-1073-1083-1086-1087-1088</t>
  </si>
  <si>
    <t>ΠΑΝΤΕΡΜΑΛΗ</t>
  </si>
  <si>
    <t>ΑΒ722309</t>
  </si>
  <si>
    <t>1441,6</t>
  </si>
  <si>
    <t>ΠΑΠΑΚΟΥ</t>
  </si>
  <si>
    <t>Π984593</t>
  </si>
  <si>
    <t>1440,8</t>
  </si>
  <si>
    <t>1069-1085-1072-1086-1087-1075-1076-1077-1074</t>
  </si>
  <si>
    <t>ΒΟΓΙΑΤΖΗ</t>
  </si>
  <si>
    <t>ΑΗ413569</t>
  </si>
  <si>
    <t>679,8</t>
  </si>
  <si>
    <t>1437,8</t>
  </si>
  <si>
    <t>1089-1082-1083-1085-1088-1069-1078-1079-1081-1073-1071-1086-1084-1074-1075-1076-1077-1087-1091</t>
  </si>
  <si>
    <t>ΑΝΔΡΙΑΝΑΚΗ</t>
  </si>
  <si>
    <t>Χ493363</t>
  </si>
  <si>
    <t>1437,5</t>
  </si>
  <si>
    <t>ΚΑΡΤΑΛΗ</t>
  </si>
  <si>
    <t>ΑΗ126300</t>
  </si>
  <si>
    <t>1437,1</t>
  </si>
  <si>
    <t>1079-1078-1090-1091-1092-1087-1074-1075-1076-1077-1080-1081-1082-1083-1085-1086-1088-1089-1084-1072-1073</t>
  </si>
  <si>
    <t>ΣΟΥΜΠΑΚΑ</t>
  </si>
  <si>
    <t>ΑΒ494160</t>
  </si>
  <si>
    <t>1436,2</t>
  </si>
  <si>
    <t>1069-1072-1085-1089</t>
  </si>
  <si>
    <t>ΤΣΟΥΛΟΣ</t>
  </si>
  <si>
    <t>ΑΙ754911</t>
  </si>
  <si>
    <t>1086-1089-1072-1071-1088-1082-1069-1085-1083-1078</t>
  </si>
  <si>
    <t>ΚΟΥΜΠΟΥΛΑΣ</t>
  </si>
  <si>
    <t>ΑΒ399019</t>
  </si>
  <si>
    <t>1434,1</t>
  </si>
  <si>
    <t>1092-1091-1090-1087-1072-1077-1076-1075-1074-1071-1086-1089-1083-1082-1085-1084-1078</t>
  </si>
  <si>
    <t>ΚΥΡΙΑΚΙΔΗΣ</t>
  </si>
  <si>
    <t>ΑΙ719492</t>
  </si>
  <si>
    <t>1433,5</t>
  </si>
  <si>
    <t>1069-1071-1072-1073-1074-1075-1076-1077-1078-1079-1080-1081-1082-1083-1084-1085-1086-1087-1088-1089-1090-1091-1092</t>
  </si>
  <si>
    <t>ΚΑΡΝΕΤΑΤΖΗ</t>
  </si>
  <si>
    <t>ΧΡΗΣΤΟΣ-ΣΥΜΕΩΝ</t>
  </si>
  <si>
    <t>ΑΙ714574</t>
  </si>
  <si>
    <t>1432,2</t>
  </si>
  <si>
    <t>1078-1024-1080</t>
  </si>
  <si>
    <t>ΕΠΙΣΚΟΠΟΥ</t>
  </si>
  <si>
    <t>Χ482636</t>
  </si>
  <si>
    <t>1089-1085</t>
  </si>
  <si>
    <t>ΚΟΛΟΚΑ</t>
  </si>
  <si>
    <t>Π401391</t>
  </si>
  <si>
    <t>1075-1076-1074-1077-1087-1091-1086-1085</t>
  </si>
  <si>
    <t>Χ848010</t>
  </si>
  <si>
    <t>1431,3</t>
  </si>
  <si>
    <t>1073-1078-1081-1083-1082-1069-1085-1079-1088-1089-1071-1072-1086-1091-1087-1075-1076-1074-1077-1084</t>
  </si>
  <si>
    <t>ΚΟΛΟΤΟΥΡΟΣ</t>
  </si>
  <si>
    <t>ΑΙ772588</t>
  </si>
  <si>
    <t>1069-1071-1070-1072-1073-1074-1075-1076-1077-1078-1079-1081-1082-1083-1084-1085-1086-1087-1088-1089</t>
  </si>
  <si>
    <t>1430,4</t>
  </si>
  <si>
    <t>ΡΙΖΟΠΟΥΛΟΥ</t>
  </si>
  <si>
    <t>ΑΖ520711</t>
  </si>
  <si>
    <t>711,7</t>
  </si>
  <si>
    <t>1429,7</t>
  </si>
  <si>
    <t>1089-1072-1085-1069-1078-1070-1087-1074-1075-1076-1077-1081-1073</t>
  </si>
  <si>
    <t>ΒΑΣΙΛΑΚΗ</t>
  </si>
  <si>
    <t>ΜΑΡΙΑ ΑΝΝΑ</t>
  </si>
  <si>
    <t>ΑΝ430657</t>
  </si>
  <si>
    <t>1428,9</t>
  </si>
  <si>
    <t>1071-1072-1074-1075-1076-1077-1091-1092-1087-1078-1085-1082-1083-1069-1086-1088-1084-1089-1079-1081-1073</t>
  </si>
  <si>
    <t>ΛΙΒΑ</t>
  </si>
  <si>
    <t>ΑΖ998908</t>
  </si>
  <si>
    <t>1428,6</t>
  </si>
  <si>
    <t>1071-1089-1083-1088</t>
  </si>
  <si>
    <t>ΑΜ710840</t>
  </si>
  <si>
    <t>1427,6</t>
  </si>
  <si>
    <t>ΚΑΤΣΑΚΙΩΡΗΣ</t>
  </si>
  <si>
    <t>ΑΚ355926</t>
  </si>
  <si>
    <t>1425,8</t>
  </si>
  <si>
    <t>1070-1091-1074-1075-1076-1077-1080-1071-1072-1073-1078-1079-1081-1069</t>
  </si>
  <si>
    <t>ΜΑΡΑΚΗΣ</t>
  </si>
  <si>
    <t>Φ455035</t>
  </si>
  <si>
    <t>1075-1076-1074-1077-1087-1069-1072-1085-1089-1078-1086-1079-1073-1081</t>
  </si>
  <si>
    <t>ΛΑΔΕΝΗ</t>
  </si>
  <si>
    <t>Χ221011</t>
  </si>
  <si>
    <t>1021-1078-1073-1082-1085-1081-1079-1089-1069-1071-1072-1070</t>
  </si>
  <si>
    <t>ΓΑΤΟΥ</t>
  </si>
  <si>
    <t>Χ326163</t>
  </si>
  <si>
    <t>1422,1</t>
  </si>
  <si>
    <t>1072-1085-1086-1078-1089-1079-1073-1076-1075-1074-1077-1087-1081-1069</t>
  </si>
  <si>
    <t>ΙΟΡΔΑΝΟΥ</t>
  </si>
  <si>
    <t>ΝΙΚΟΛΕΤΤΑ</t>
  </si>
  <si>
    <t>ΑΕ335908</t>
  </si>
  <si>
    <t>1081-1073-1075-1076</t>
  </si>
  <si>
    <t>ΖΕΡΒΟΥ</t>
  </si>
  <si>
    <t>ΑΒ187002</t>
  </si>
  <si>
    <t>1419,2</t>
  </si>
  <si>
    <t>1087-1091-1075-1076-1077-1090-1074-1078-1079-1085-1086-1072-1073-1070-1071</t>
  </si>
  <si>
    <t>ΠΑΠΑΛΑΜΠΡΟΥ-ΣΤΕΦΑΝΟΥ</t>
  </si>
  <si>
    <t>ΑΑ446515</t>
  </si>
  <si>
    <t>1419,1</t>
  </si>
  <si>
    <t>1086-1072-1089-1069-1085-1078-1081-1079-1073-1076-1075-1074-1077-1087</t>
  </si>
  <si>
    <t>1418,2</t>
  </si>
  <si>
    <t>ΜΑΣΣΑΛΗ</t>
  </si>
  <si>
    <t>EΥΤΥΧΙΑ</t>
  </si>
  <si>
    <t>ΑΑ031142</t>
  </si>
  <si>
    <t>1072-1074-1075-1076-1078-1089-1091-1092</t>
  </si>
  <si>
    <t>ΜΠΟΥΛΟΓΙΑΝΝΗΣ</t>
  </si>
  <si>
    <t>ΑΒ832634</t>
  </si>
  <si>
    <t>1083-1069-1085-1082-1088-1073</t>
  </si>
  <si>
    <t>ΚΑΤΣΙΦΑ</t>
  </si>
  <si>
    <t>ΑΗ981463</t>
  </si>
  <si>
    <t>ΓΚΟΥΒΗ</t>
  </si>
  <si>
    <t>ΑΖ283245</t>
  </si>
  <si>
    <t>1415,4</t>
  </si>
  <si>
    <t>1086-1089-1085-1071-1081-1073-1072-1078-1079-1087-1074-1076-1077-1075</t>
  </si>
  <si>
    <t>ΧΑΤΖΗΓΑΒΡΙΗΛ</t>
  </si>
  <si>
    <t>ΑΚ992815</t>
  </si>
  <si>
    <t>1412,6</t>
  </si>
  <si>
    <t>ΠΑΠΑΡΓΥΡΗΣ</t>
  </si>
  <si>
    <t>ΑΝ282720</t>
  </si>
  <si>
    <t>1412,5</t>
  </si>
  <si>
    <t>1072-1071-1085-1083-1082-1087-1091-1076-1077-1075-1074-1005</t>
  </si>
  <si>
    <t>ΜΟΧΙΑΝΑΚΗΣ</t>
  </si>
  <si>
    <t>ΠΑΝΤΕΛΕΗΜΩΝ</t>
  </si>
  <si>
    <t>ΑΑ369593</t>
  </si>
  <si>
    <t>1411,1</t>
  </si>
  <si>
    <t>1075-1074-1076-1077-1091</t>
  </si>
  <si>
    <t>ΓΕΡΟΝΤΖΟΣ</t>
  </si>
  <si>
    <t>ΝΕΚΤΑΡΙΟΣ</t>
  </si>
  <si>
    <t>ΑΙ036452</t>
  </si>
  <si>
    <t>1410,4</t>
  </si>
  <si>
    <t>1072-1071-1086-1089-1085-1082-1083-1088-1078-1091-1076-1074-1075-1077-1087-1073</t>
  </si>
  <si>
    <t>ΦΑΝΟΣ</t>
  </si>
  <si>
    <t>ΑΗ587304</t>
  </si>
  <si>
    <t>1089-1072-1085-1069-1078-1090-1087-1074-1075-1076-1077-1081-1073-1070-1079</t>
  </si>
  <si>
    <t>ΚΟΚΚΙΝΗ</t>
  </si>
  <si>
    <t>Χ917826</t>
  </si>
  <si>
    <t>ΤΑΠΑΣΚΟΣ</t>
  </si>
  <si>
    <t>ΑΖ343638</t>
  </si>
  <si>
    <t>1406,7</t>
  </si>
  <si>
    <t>1069-1070-1071-1072-1073-1078-1079-1080-1081</t>
  </si>
  <si>
    <t>ΤΣΑΜΠΑΟΣ</t>
  </si>
  <si>
    <t>ΑΗ475914</t>
  </si>
  <si>
    <t>1405,2</t>
  </si>
  <si>
    <t>1089-1085-1072-1071-1069-1088-1086-1087</t>
  </si>
  <si>
    <t>Χ311576</t>
  </si>
  <si>
    <t>ΜΠΑΚΥΡΤΣΗΣ</t>
  </si>
  <si>
    <t>ΑΖ806864</t>
  </si>
  <si>
    <t>1404,7</t>
  </si>
  <si>
    <t>1073-1078</t>
  </si>
  <si>
    <t>ΜΕΛΛΙΟΥ</t>
  </si>
  <si>
    <t>ΑΕ990907</t>
  </si>
  <si>
    <t>1403,7</t>
  </si>
  <si>
    <t>ΜΑΥΡΕΔΑΚΗ</t>
  </si>
  <si>
    <t>ΕΛΕΥΘ</t>
  </si>
  <si>
    <t>ΑΖ958571</t>
  </si>
  <si>
    <t>1403,4</t>
  </si>
  <si>
    <t>1075-1074-1076-1077</t>
  </si>
  <si>
    <t>ΖΟΥΜΠΟΥΛΗΣ</t>
  </si>
  <si>
    <t>ΑΖ245044</t>
  </si>
  <si>
    <t>1081-1073-1078-1079-1085-1072</t>
  </si>
  <si>
    <t>ΣΧΟΙΝΑ</t>
  </si>
  <si>
    <t>ΜΑΡΙΑΝΝΑ</t>
  </si>
  <si>
    <t>ΑΝ302868</t>
  </si>
  <si>
    <t>1072-1086-1078-1074-1075-1076-1077-1085-1087-1089</t>
  </si>
  <si>
    <t>ΚΑΡΑΝΑΣΤΑΣΗ</t>
  </si>
  <si>
    <t>Χ985991</t>
  </si>
  <si>
    <t>1403,2</t>
  </si>
  <si>
    <t>1070-1071-1072-1073-1074-1075-1076-1077-1078-1079-1080-1081-1082-1083-1084-1085-1086-1087-1088-1089-1090-1091-1092</t>
  </si>
  <si>
    <t>ΠΟΝΤΙΚΑΣ</t>
  </si>
  <si>
    <t>ΑΖ274907</t>
  </si>
  <si>
    <t>ΛΑΖΑΡΙΔΟΥ</t>
  </si>
  <si>
    <t>ΘΑΛΕΙΑ</t>
  </si>
  <si>
    <t>Ξ058901</t>
  </si>
  <si>
    <t>1401,2</t>
  </si>
  <si>
    <t>1089-1071-1072-1069-1085-1073-1074-1075-1076-1077-1078-1079-1081-1086-1087</t>
  </si>
  <si>
    <t>ΖΑΡΚΑΔΑ</t>
  </si>
  <si>
    <t>ΑΗ198957</t>
  </si>
  <si>
    <t>1069-1085-1089-1081-1078-1073-1072-1079-1086-1076-1077-1075-1074-1087</t>
  </si>
  <si>
    <t>ΠΑΛΙΟΥΡΑΣ</t>
  </si>
  <si>
    <t>ΑΙ269007</t>
  </si>
  <si>
    <t>1070-1085-1086-1089-1069-1072-1078-1079-1073-1081-1087-1076-1074-1075-1077</t>
  </si>
  <si>
    <t>ΚΙΟΥΣΗΣ</t>
  </si>
  <si>
    <t>Φ222495</t>
  </si>
  <si>
    <t>1400,9</t>
  </si>
  <si>
    <t>ΤΟΥΡΑΛΙΑΣ</t>
  </si>
  <si>
    <t>Ρ913578</t>
  </si>
  <si>
    <t>1398,7</t>
  </si>
  <si>
    <t>ΛΥΡΑΚΗ</t>
  </si>
  <si>
    <t>ΑΖ968296</t>
  </si>
  <si>
    <t>1397,9</t>
  </si>
  <si>
    <t>1076-1077-1074-1075-1087-1089-1086-1085-1072-1073-1078-1079-1081-1082</t>
  </si>
  <si>
    <t>ΒΟΡΙΑΖΙΔΗΣ</t>
  </si>
  <si>
    <t>ΑΕ163133</t>
  </si>
  <si>
    <t>689,7</t>
  </si>
  <si>
    <t>1397,7</t>
  </si>
  <si>
    <t>1078-1081-1080-1079-1084-1073-1069-1088-1085-1082-1083-1086-1087-1089-1090-1091-1070-1071-1072-1074</t>
  </si>
  <si>
    <t>ΠΙΤΣΟΣ</t>
  </si>
  <si>
    <t>Ρ277467</t>
  </si>
  <si>
    <t>1396,2</t>
  </si>
  <si>
    <t>1071-1072-1088-1069-1005</t>
  </si>
  <si>
    <t>ΧΑΛΒΑΤΖΗΣ</t>
  </si>
  <si>
    <t>ΑΑ257759</t>
  </si>
  <si>
    <t>1394,6</t>
  </si>
  <si>
    <t>1080-1073-1078</t>
  </si>
  <si>
    <t>1393,5</t>
  </si>
  <si>
    <t>ΔΕΛΑΒΕΡΙΔΗΣ</t>
  </si>
  <si>
    <t>ΑΓΑΘΟΝΙΚΟΣ</t>
  </si>
  <si>
    <t>ΑΖ324518</t>
  </si>
  <si>
    <t>1392,7</t>
  </si>
  <si>
    <t>1073-1081-1078-1079-1085-1069</t>
  </si>
  <si>
    <t>ΑΘΑΝΑΣΑΚΗ</t>
  </si>
  <si>
    <t>Χ456058</t>
  </si>
  <si>
    <t>1392,2</t>
  </si>
  <si>
    <t>1078-1089-1085-1073-1079-1081-1088-1082-1083-1072-1071-1069-1074-1075-1076-1077-1091-1087-1086</t>
  </si>
  <si>
    <t>ΤΣΙΤΣΑΝΗ</t>
  </si>
  <si>
    <t>Ξ998965</t>
  </si>
  <si>
    <t>684,2</t>
  </si>
  <si>
    <t>1070-1069</t>
  </si>
  <si>
    <t>1391,8</t>
  </si>
  <si>
    <t>ΠΛΑΤΥΡΡΑΧΟΥ</t>
  </si>
  <si>
    <t>ΚΩΝΣΤΑΝΤΙΚΟΣ</t>
  </si>
  <si>
    <t>ΑΙ441896</t>
  </si>
  <si>
    <t>1391,7</t>
  </si>
  <si>
    <t>ΑΖ390251</t>
  </si>
  <si>
    <t>1391,3</t>
  </si>
  <si>
    <t>1078-1073-1079-1090-1087</t>
  </si>
  <si>
    <t>ΚΟΣΜΙΔΗ</t>
  </si>
  <si>
    <t>ΕΥΡΩΠΗ</t>
  </si>
  <si>
    <t>ΑΒ742245</t>
  </si>
  <si>
    <t>1390,6</t>
  </si>
  <si>
    <t>1072-1069-1071-1086-1089-1085-1088-1083-1082-1073-1081-1079-1087-1077-1076-1075-1074-1078</t>
  </si>
  <si>
    <t>ΖΩΓΡΑΦΑ</t>
  </si>
  <si>
    <t>ΑΖ296077</t>
  </si>
  <si>
    <t>1390,2</t>
  </si>
  <si>
    <t>Χ345066</t>
  </si>
  <si>
    <t>1073-1078-1080-1081</t>
  </si>
  <si>
    <t>ΣΤΡΟΠΙΟΣ</t>
  </si>
  <si>
    <t>ΑΕ934073</t>
  </si>
  <si>
    <t>1389,2</t>
  </si>
  <si>
    <t>1084-1078-1079-1072-1076-1077-1085-1086-1087-1088-1069-1073-1074-1075-1081-1082-1083-1089-1071</t>
  </si>
  <si>
    <t>ΚΟΤΣΙΩΝΗΣ</t>
  </si>
  <si>
    <t>ΑΒ801770</t>
  </si>
  <si>
    <t>1388,1</t>
  </si>
  <si>
    <t>1086-1078-1081-1072-1090-1091-1074-1075-1076-1077-1087-1082-1083-1071-1070-1069-1073-1079-1085-1088-1089-1080-1084</t>
  </si>
  <si>
    <t>ΚΟΕΝ</t>
  </si>
  <si>
    <t>ΛΕΩΝ</t>
  </si>
  <si>
    <t>ΑΕ804116</t>
  </si>
  <si>
    <t>1085-1089-1069-1073</t>
  </si>
  <si>
    <t>ΣΠΑΡΤΙΑΝΟΣ</t>
  </si>
  <si>
    <t>ΑΗ732631</t>
  </si>
  <si>
    <t>ΑΡΓΥΡΟΠΟΥΛΟΣ</t>
  </si>
  <si>
    <t>Ρ793874</t>
  </si>
  <si>
    <t>1080-1078-1073-1085-1081-1072-1069-1086-1089-1087-1074-1075-1076-1077</t>
  </si>
  <si>
    <t>ΑΙ860577</t>
  </si>
  <si>
    <t>1387,3</t>
  </si>
  <si>
    <t>ΓΚΑΝΑ</t>
  </si>
  <si>
    <t>ΑΖ241218</t>
  </si>
  <si>
    <t>1386,2</t>
  </si>
  <si>
    <t>1081-1088-1073-1083-1078-1082-1069-1089-1085-1072-1086-1071-1079-1005</t>
  </si>
  <si>
    <t>ΚΩΝΣΤΑ ΠΑΣΙΠΟΥΛΑΡΙΔΗ</t>
  </si>
  <si>
    <t>ΑΜ236307</t>
  </si>
  <si>
    <t>867,9</t>
  </si>
  <si>
    <t>1384,9</t>
  </si>
  <si>
    <t>ΑΡΙΣΤΟΤΕΛΗΣ</t>
  </si>
  <si>
    <t>ΑΚ869703</t>
  </si>
  <si>
    <t>1384,8</t>
  </si>
  <si>
    <t>ΜΑΥΡΟΠΟΥΛΟΣ</t>
  </si>
  <si>
    <t>Ρ360292</t>
  </si>
  <si>
    <t>1384,7</t>
  </si>
  <si>
    <t>ΔΕΡΜΙΣΗ</t>
  </si>
  <si>
    <t>ΑΚ916128</t>
  </si>
  <si>
    <t>1383,6</t>
  </si>
  <si>
    <t>1073-1069-1078-1070-1090-1081-1079-1085-1089-1071-1072-1074-1075-1076-1077-1087-1086-1080</t>
  </si>
  <si>
    <t>ΤΖΑΝΕΤΗΣ</t>
  </si>
  <si>
    <t>ΑΜ685825</t>
  </si>
  <si>
    <t>1383,2</t>
  </si>
  <si>
    <t>1078-1080-1073-1079-1083-1082-1085-1081-1088-1089-1072-1071-1070-1091-1087-1084-1090-1076-1075-1074-1077-1086</t>
  </si>
  <si>
    <t>ΝΗΦΑΚΟΥ</t>
  </si>
  <si>
    <t>ΧΡΙΣΤΙΝΑ ΦΑΙΔΡΑ</t>
  </si>
  <si>
    <t>Χ433847</t>
  </si>
  <si>
    <t>1086-1091-1087-1078-1072-1085-1084-1088-1089-1073-1079-1083-1081-1069</t>
  </si>
  <si>
    <t>ΕΥΑΓΓΕΛΙΟΥ</t>
  </si>
  <si>
    <t>ΑΚ489270</t>
  </si>
  <si>
    <t>1089-1088-1087-1072-1075</t>
  </si>
  <si>
    <t>ΑΝΔΡΟΥΛΑΚΗ</t>
  </si>
  <si>
    <t>Χ855631</t>
  </si>
  <si>
    <t>1382,1</t>
  </si>
  <si>
    <t>1077-1076-1075-1074-1087</t>
  </si>
  <si>
    <t>ΡΟΥΣΟΠΟΥΛΟΥ</t>
  </si>
  <si>
    <t>Φ241655</t>
  </si>
  <si>
    <t>1381,8</t>
  </si>
  <si>
    <t>1086-1071-1085-1089-1072-1088-1082-1005-1069-1083-1091-1087-1073-1078-1081-1074-1079</t>
  </si>
  <si>
    <t>ΜΠΑΡΚΟΥΤΑΣ</t>
  </si>
  <si>
    <t>ΑΚ376221</t>
  </si>
  <si>
    <t>1381,4</t>
  </si>
  <si>
    <t>1069-1073-1078-1081-1085-1079-1072-1074-1075-1076-1077-1087-1086-1089</t>
  </si>
  <si>
    <t>ΝΟΥΣΗΛΑΖΟΥ</t>
  </si>
  <si>
    <t>ΑΗ330991</t>
  </si>
  <si>
    <t>1381,3</t>
  </si>
  <si>
    <t>1073-1079-1081-1078-1091-1082-1083-1085-1088-1069-1071-1072-1074-1075-1076-1077-1087-1084-1086-1089</t>
  </si>
  <si>
    <t>ΑΜ851355</t>
  </si>
  <si>
    <t>1381,2</t>
  </si>
  <si>
    <t>1081-1073-1088-1069-1083-1082-1085-1078-1079-1089-1071-1072-1091-1087-1075-1076-1077-1086-1074</t>
  </si>
  <si>
    <t>ΒΛΑΧΟΥ</t>
  </si>
  <si>
    <t>ΦΩΤΟΥΛΑ</t>
  </si>
  <si>
    <t>Χ758235</t>
  </si>
  <si>
    <t>1380,7</t>
  </si>
  <si>
    <t>1078-1073-1083-1079-1085-1081-1082</t>
  </si>
  <si>
    <t>ΚΕΚΡΙΔΟΥ</t>
  </si>
  <si>
    <t>ΕΛΠΙΔΑ</t>
  </si>
  <si>
    <t>ΑΕ891991</t>
  </si>
  <si>
    <t>1087-1086-1079-1069-1073-1081-1074-1075-1076-1082-1078-1085-1072-1089</t>
  </si>
  <si>
    <t>ΣΑΚΕΛΛΑΡΑΚΗΣ</t>
  </si>
  <si>
    <t>Π745910</t>
  </si>
  <si>
    <t>1380,3</t>
  </si>
  <si>
    <t>ΑΕ771129</t>
  </si>
  <si>
    <t>897,6</t>
  </si>
  <si>
    <t>1379,6</t>
  </si>
  <si>
    <t>1085-1078-1088-1073-1082-1083-1079-1089-1072-1086-1084-1071-1081-1069</t>
  </si>
  <si>
    <t>ΑΛΕΙΦΕΡΗΣ</t>
  </si>
  <si>
    <t>ΑΚ480259</t>
  </si>
  <si>
    <t>ΚΩΤΣΑΙΝΑΣ</t>
  </si>
  <si>
    <t>ΜΕΛΕΤΗΣ</t>
  </si>
  <si>
    <t>ΑΕ120082</t>
  </si>
  <si>
    <t>658,9</t>
  </si>
  <si>
    <t>1376,9</t>
  </si>
  <si>
    <t>1375,7</t>
  </si>
  <si>
    <t>ΚΟΛΤΣΙΔΑ</t>
  </si>
  <si>
    <t>ΣΠΥΡΙΔΟΥΛΑ ΙΡΙΣ</t>
  </si>
  <si>
    <t>ΑΙ553352</t>
  </si>
  <si>
    <t>1374,1</t>
  </si>
  <si>
    <t>1078-1088-1069-1073-1082-1083-1079-1085-1089-1071</t>
  </si>
  <si>
    <t>1372,9</t>
  </si>
  <si>
    <t>ΒΟΔΑΝΙΚΗΣ</t>
  </si>
  <si>
    <t>Σ794142</t>
  </si>
  <si>
    <t>1372,6</t>
  </si>
  <si>
    <t>1078-1082-1085-1079-1081-1069-1073-1089-1074-1075-1076-1077-1086-1087-1072</t>
  </si>
  <si>
    <t>ΤΡΙΑΝΤΑΦΥΛΛΙΔΟΥ</t>
  </si>
  <si>
    <t>ΡΕΒΕΚΚΑ</t>
  </si>
  <si>
    <t>ΑΒ883132</t>
  </si>
  <si>
    <t>1372,2</t>
  </si>
  <si>
    <t>1073-1078-1069-1085-1086-1079-1072-1089-1087-1074-1075-1076-1077</t>
  </si>
  <si>
    <t>ΜΠΙΣΠΙΚΗ</t>
  </si>
  <si>
    <t>ΑΖ476741</t>
  </si>
  <si>
    <t>1371,5</t>
  </si>
  <si>
    <t>ΚΑΤΣΙΚΕΑ</t>
  </si>
  <si>
    <t>ΝΑΥΣΙΚΑ</t>
  </si>
  <si>
    <t>ΑΕ699194</t>
  </si>
  <si>
    <t>1078-1073-1079-1081-1069-1072-1085-1086</t>
  </si>
  <si>
    <t>ΚΙΤΣΟΥ</t>
  </si>
  <si>
    <t>ΑΙ491112</t>
  </si>
  <si>
    <t>712,8</t>
  </si>
  <si>
    <t>1370,8</t>
  </si>
  <si>
    <t>1071-1005-1072-1089-1082-1081-1073-1078-1088-1069-1085-1083-1086-1079</t>
  </si>
  <si>
    <t>1369,6</t>
  </si>
  <si>
    <t>ΓΚΙΟΥΛΕΚΑ</t>
  </si>
  <si>
    <t>ΚΑΛΛΙΣΤΡΑΤΟΣ</t>
  </si>
  <si>
    <t>ΑΖ280743</t>
  </si>
  <si>
    <t>1368,6</t>
  </si>
  <si>
    <t>ΚΛΑΓΚΟΥ</t>
  </si>
  <si>
    <t>ΑΝ986396</t>
  </si>
  <si>
    <t>1368,5</t>
  </si>
  <si>
    <t>ΓΑΡΔΟΥ</t>
  </si>
  <si>
    <t>ΖΑΧΑΡΟΥΛΑ</t>
  </si>
  <si>
    <t>ΑΙ476754</t>
  </si>
  <si>
    <t>1368,4</t>
  </si>
  <si>
    <t>ΠΑΤΣΙΟΥ</t>
  </si>
  <si>
    <t>Φ469898</t>
  </si>
  <si>
    <t>874,5</t>
  </si>
  <si>
    <t>1366,5</t>
  </si>
  <si>
    <t>1081-1088-1083-1084-1071-1077-1072-1089-1085-1079-1078-1073-1075-1076-1074-1091-1082-1069-1087-1086-1092-1090-1070-1080</t>
  </si>
  <si>
    <t>ΜΠΕΛΙΑΤΗ</t>
  </si>
  <si>
    <t>ΑΒ436035</t>
  </si>
  <si>
    <t>608,3</t>
  </si>
  <si>
    <t>1366,3</t>
  </si>
  <si>
    <t>1078-1024-1081-1073-1080-1079-1083-1082-1069-1088-1085-1089-1071-1070-1072-1091-1090-1087-1075-1076-1074-1077-1086-1084</t>
  </si>
  <si>
    <t>ΣΕΦΕΡΛΗ</t>
  </si>
  <si>
    <t>ΑΣΠΑΣΙΑ</t>
  </si>
  <si>
    <t>ΑΜ527896</t>
  </si>
  <si>
    <t>ΚΟΥΤΡΑΣ</t>
  </si>
  <si>
    <t>ΤΡΥΦΩΝ</t>
  </si>
  <si>
    <t>ΑΙ208084</t>
  </si>
  <si>
    <t>1365,3</t>
  </si>
  <si>
    <t>1089-1072-1085</t>
  </si>
  <si>
    <t>ΑΜ704983</t>
  </si>
  <si>
    <t>1364,9</t>
  </si>
  <si>
    <t>ΚΑΠΟΥΡΕΛΑΚΟΣ</t>
  </si>
  <si>
    <t>ΑΙ046877</t>
  </si>
  <si>
    <t>1072-1089-1071-1005</t>
  </si>
  <si>
    <t>ΑΙ961096</t>
  </si>
  <si>
    <t>1091-1087-1078-1088-1079-1074-1075-1076-1077-1086-1085-1069-1073-1072-1084-1071-1080-1081-1082-1083</t>
  </si>
  <si>
    <t>ΘΕΟΔΟΣΙΑΔΗΣ</t>
  </si>
  <si>
    <t>ΑΒ722889</t>
  </si>
  <si>
    <t>1362,9</t>
  </si>
  <si>
    <t>1070-1073-1078-1081-1088</t>
  </si>
  <si>
    <t>ΓΙΑΝΤΑ</t>
  </si>
  <si>
    <t>ΑΖ931910</t>
  </si>
  <si>
    <t>674,3</t>
  </si>
  <si>
    <t>1362,3</t>
  </si>
  <si>
    <t>ΑΓΡΙΜΑΚΗΣ</t>
  </si>
  <si>
    <t>ΡΟΥΣΟΣ</t>
  </si>
  <si>
    <t>ΑΜ952826</t>
  </si>
  <si>
    <t>1361,8</t>
  </si>
  <si>
    <t>1075-1076-1077-1074-1087-1091</t>
  </si>
  <si>
    <t>ΚΑΛΑΝΤΖΗΣ</t>
  </si>
  <si>
    <t>ΑΝ343816</t>
  </si>
  <si>
    <t>1361,3</t>
  </si>
  <si>
    <t>1021-1044-1088-1027-1072-1040-1085-1082-1045-1089-1029-1069-1005-1033-1083-1034-1078-1038-1071-1037-1042-1073-1081-1035-1079-1086-1041-1026-1028-1032-1046-1091-1087-1077-1076-1074-1075-1030-1031-1043-1025-1039-1084-1036</t>
  </si>
  <si>
    <t>ΒΛΑΝΤΗΣ</t>
  </si>
  <si>
    <t>ΑΝΤΩΝΗΣ</t>
  </si>
  <si>
    <t>ΑΗ384044</t>
  </si>
  <si>
    <t>1360,9</t>
  </si>
  <si>
    <t>1079-1078-1073-1081-1069-1082-1085-1072-1087-1074-1075-1076-1080-1089-1071</t>
  </si>
  <si>
    <t>ΣΙΑΛΜΑ</t>
  </si>
  <si>
    <t>ΧΡΥΣΑ</t>
  </si>
  <si>
    <t>Χ057754</t>
  </si>
  <si>
    <t>1359,2</t>
  </si>
  <si>
    <t>1072-1085-1078-1086-1087-1075-1076-1077-1089-1079-1073-1074</t>
  </si>
  <si>
    <t>ΑΛΕΞΑΚΗ</t>
  </si>
  <si>
    <t>ΑΚ299885</t>
  </si>
  <si>
    <t>1078-1073-1079-1085-1081-1072-1089-1076-1075-1074-1077-1087-1086</t>
  </si>
  <si>
    <t>ΛΙΑΚΟΣ</t>
  </si>
  <si>
    <t>ΑΝ142092</t>
  </si>
  <si>
    <t>1038-1071-1072</t>
  </si>
  <si>
    <t>ΤΣΑΚΙΡΑΚΗ</t>
  </si>
  <si>
    <t>ΑΗ972791</t>
  </si>
  <si>
    <t>1357,6</t>
  </si>
  <si>
    <t>1091-1090-1087-1077-1075-1076</t>
  </si>
  <si>
    <t>ΠΑΠΑΣΕΡΑΦΕΙΜ</t>
  </si>
  <si>
    <t>ΒΟΝΙΦΑΤΙΟΣ</t>
  </si>
  <si>
    <t>ΑΝ497457</t>
  </si>
  <si>
    <t>1357,4</t>
  </si>
  <si>
    <t>1071-1072</t>
  </si>
  <si>
    <t>ΠΑΠΟΥΤΣΑΚΗ</t>
  </si>
  <si>
    <t>ΒΕΡΟΝΙΚΑ ΚΥΡΙΑΚΗ</t>
  </si>
  <si>
    <t>ΑΚ475428</t>
  </si>
  <si>
    <t>1075-1076-1077-1091-1090-1087-1074-1086-1078-1082-1083-1085</t>
  </si>
  <si>
    <t>ΚΑΤΣΙΠΑΝΟΥ</t>
  </si>
  <si>
    <t>Χ779009</t>
  </si>
  <si>
    <t>1354,7</t>
  </si>
  <si>
    <t>1072-1078-1085-1086-1088-1089-1073-1083-1071-1069-1075-1077-1076-1091-1079-1005-1087-1081-1082-1074-1084</t>
  </si>
  <si>
    <t>ΖΑΧΑΡΑΚΗΣ</t>
  </si>
  <si>
    <t>Ρ242333</t>
  </si>
  <si>
    <t>ΓΑΤΣΙΟΥ</t>
  </si>
  <si>
    <t>ΑΙ266190</t>
  </si>
  <si>
    <t>705,1</t>
  </si>
  <si>
    <t>1353,1</t>
  </si>
  <si>
    <t>1072-1073-1074-1075-1076-1077-1078-1079-1080-1081-1082-1083-1084-1085-1086-1087-1089</t>
  </si>
  <si>
    <t>ΕΥΘΥΜΙΟΥ</t>
  </si>
  <si>
    <t>Π919246</t>
  </si>
  <si>
    <t>1089-1071-1072-1069-1088-1085-1082-1083-1086-1073-1081-1078-1070-1005</t>
  </si>
  <si>
    <t xml:space="preserve"> ΤΖΟΥΚΑ</t>
  </si>
  <si>
    <t>ΑΗ978119</t>
  </si>
  <si>
    <t>1351,3</t>
  </si>
  <si>
    <t>1089-1071-1072-1077-1069-1086-1087-1085-1078-1079-1073-1081-1074-1075-1076-1005</t>
  </si>
  <si>
    <t>ΚΑΡΕΜΠΙΔΟΥ</t>
  </si>
  <si>
    <t>ΑΜ297104</t>
  </si>
  <si>
    <t>1069-1071-1072-1073-1074-1075-1076-1077-1078-1079-1081-1082-1083-1085-1086-1087-1088-1089</t>
  </si>
  <si>
    <t>ΜΠΕΡΤΣΙΟΣ</t>
  </si>
  <si>
    <t>Χ551505</t>
  </si>
  <si>
    <t>1350,6</t>
  </si>
  <si>
    <t>1079-1072-1089-1069-1073-1078-1081-1085-1086-1087-1074-1075-1076-1077</t>
  </si>
  <si>
    <t>ΛΑΖΑΡΟΥ</t>
  </si>
  <si>
    <t>ΑΙ977125</t>
  </si>
  <si>
    <t>691,9</t>
  </si>
  <si>
    <t>1349,9</t>
  </si>
  <si>
    <t>1089-1082-1071-1085-1072-1088-1069-1083-1078-1073-1079-1086-1074-1075-1076-1077-1087-1091</t>
  </si>
  <si>
    <t>ΜΟΥΜΤΖΗΣ</t>
  </si>
  <si>
    <t>ΑΜ262043</t>
  </si>
  <si>
    <t>1348,4</t>
  </si>
  <si>
    <t>1078-1080-1073-1079-1082-1083-1081</t>
  </si>
  <si>
    <t>ΚΥΡΟΥΣΗ</t>
  </si>
  <si>
    <t>ΑΙ208289</t>
  </si>
  <si>
    <t>1347,8</t>
  </si>
  <si>
    <t>1091-1074-1075-1076-1077-1087-1078-1071-1072-1086-1085-1088-1069-1005-1079-1082-1083-1073-1081-1084-1089</t>
  </si>
  <si>
    <t>ΤΟΥΡΤΟΥΡΑΣ</t>
  </si>
  <si>
    <t>ΑΑ433112</t>
  </si>
  <si>
    <t>1347,5</t>
  </si>
  <si>
    <t>1069-1083-1082-1085-1081-1078-1071-1089-1077-1075-1076-1090-1091-1092</t>
  </si>
  <si>
    <t>ΚΑΤΡΑΚΑΖΑΣ</t>
  </si>
  <si>
    <t>ΑΕ428848</t>
  </si>
  <si>
    <t>1346,6</t>
  </si>
  <si>
    <t>1084-1086-1078-1088-1085-1082-1089-1072-1071-1005-1079-1069-1083-1091-1076-1087-1080-1073-1070-1081-1090-1077-1074-1075</t>
  </si>
  <si>
    <t>ΜΑΝΤΩΝΑΝΑΚΗΣ</t>
  </si>
  <si>
    <t>Σ631149</t>
  </si>
  <si>
    <t>1346,4</t>
  </si>
  <si>
    <t>ΑΣΤΡΑΚΑΣ</t>
  </si>
  <si>
    <t>Ξ901363</t>
  </si>
  <si>
    <t>1345,1</t>
  </si>
  <si>
    <t>ΚΟΥΝΗΣ</t>
  </si>
  <si>
    <t>ΑΙ986670</t>
  </si>
  <si>
    <t>1344,2</t>
  </si>
  <si>
    <t>1072-1089-1071-1088-1069-1085-1083-1082-1086-1079-1081-1078-1073-1076-1077-1075-1074-1087-1091</t>
  </si>
  <si>
    <t>Χ377315</t>
  </si>
  <si>
    <t>1342,9</t>
  </si>
  <si>
    <t>1088-1069-1082-1083-1085-1089-1078-1073-1081-1072-1071-1079-1091-1076-1074-1075-1077-1087-1086</t>
  </si>
  <si>
    <t>ΜΑΥΡΙΚΟΥ</t>
  </si>
  <si>
    <t>ΑΒ604300</t>
  </si>
  <si>
    <t>1069-1088-1082-1083-1085-1089-1081-1078-1072-1073-1071-1079-1077-1086-1087-1074-1075-1076-1084</t>
  </si>
  <si>
    <t>ΜΑΝΙΩΡΑΚΗ</t>
  </si>
  <si>
    <t>ΑΖ192585</t>
  </si>
  <si>
    <t>1341,1</t>
  </si>
  <si>
    <t>ΜΠΟΥΡΑ</t>
  </si>
  <si>
    <t>ΑΚ488704</t>
  </si>
  <si>
    <t>ΘΕΟΦΑΝΙΔΗΣ</t>
  </si>
  <si>
    <t>ΑΧΙΛΛΕΑΣ ΜΑΡΙΟΣ</t>
  </si>
  <si>
    <t>ΑΝΘΙΜΟΣ</t>
  </si>
  <si>
    <t>Φ026190</t>
  </si>
  <si>
    <t>1340,7</t>
  </si>
  <si>
    <t>ΧΡΙΣΤΟΦΟΡΟΣ</t>
  </si>
  <si>
    <t>ΑΙ960367</t>
  </si>
  <si>
    <t>1087-1091-1074-1075-1076-1077</t>
  </si>
  <si>
    <t>ΔΑΜΙΑΝΟΣ</t>
  </si>
  <si>
    <t>ΑΙ315408</t>
  </si>
  <si>
    <t>1338,5</t>
  </si>
  <si>
    <t>1085-1089-1069-1078-1072-1073-1079</t>
  </si>
  <si>
    <t>ΣΥΡΙΜΗ</t>
  </si>
  <si>
    <t>ΑΜ613472</t>
  </si>
  <si>
    <t>1337,7</t>
  </si>
  <si>
    <t>ΚΑΤΑΒΟΥΤΑΣ</t>
  </si>
  <si>
    <t>Χ978191</t>
  </si>
  <si>
    <t>1337,4</t>
  </si>
  <si>
    <t>1088-1069-1091-1087-1075-1077-1076</t>
  </si>
  <si>
    <t>ΚΑΡΑΜΙΧΟΣ</t>
  </si>
  <si>
    <t>Σ921370</t>
  </si>
  <si>
    <t>1337,3</t>
  </si>
  <si>
    <t>1069-1085-1078-1089-1073-1081-1071-1072</t>
  </si>
  <si>
    <t>ΜΗΤΡΕΤΟΔΗ</t>
  </si>
  <si>
    <t>ΑΙ382351</t>
  </si>
  <si>
    <t>718,3</t>
  </si>
  <si>
    <t>1336,3</t>
  </si>
  <si>
    <t>1080-1078-1073-1081-1079-1069-1085-1089-1072-1075-1074-1076</t>
  </si>
  <si>
    <t>ΛΑΣΚΑΡΙΔΗΣ</t>
  </si>
  <si>
    <t>ΑΖ697922</t>
  </si>
  <si>
    <t>1090-1087-1077-1076-1075-1074-1078-1073-1070-1079-1072-1069-1089-1085-1081-1086-1080</t>
  </si>
  <si>
    <t>ΑΖ210906</t>
  </si>
  <si>
    <t>1070-1090-1086-1076-1075-1074-1077-1087-1089-1073-1085-1069-1078-1079-1081</t>
  </si>
  <si>
    <t>ΖΑΧΑΡΗ</t>
  </si>
  <si>
    <t>ΑΡΙΣΤΕΑ</t>
  </si>
  <si>
    <t>ΑΚ407489</t>
  </si>
  <si>
    <t>1083-1082-1069-1088-1085-1078-1074-1075-1076-1077-1079-1087-1089-1092-1090-1091</t>
  </si>
  <si>
    <t>ΚΡΕΒΕΤΖΑΚΗ</t>
  </si>
  <si>
    <t>Ξ953621</t>
  </si>
  <si>
    <t>1329,7</t>
  </si>
  <si>
    <t>1075-1076-1074-1077</t>
  </si>
  <si>
    <t>ΑΖ709798</t>
  </si>
  <si>
    <t>1086-1089-1085-1083-1082-1072-1071-1081-1078-1069-1088-1073-1091-1074-1075-1076-1077-1087</t>
  </si>
  <si>
    <t xml:space="preserve">ΚΩΝΣΤΑΝΤΙΝΟΣ </t>
  </si>
  <si>
    <t xml:space="preserve">ΙΩΑΝΝΗΣ </t>
  </si>
  <si>
    <t>ΑΕ479909</t>
  </si>
  <si>
    <t>1089-1072-1071-1082-1085</t>
  </si>
  <si>
    <t>ΓΙΑΝΝΟΠΟΥΛΟΣ</t>
  </si>
  <si>
    <t>Σ845270</t>
  </si>
  <si>
    <t>ΦΙΩΤΑΚΗΣ</t>
  </si>
  <si>
    <t>ΑΗ474430</t>
  </si>
  <si>
    <t>668,8</t>
  </si>
  <si>
    <t>1326,8</t>
  </si>
  <si>
    <t>1091-1087-1074-1075-1076-1077-1078-1071-1005-1072-1089-1085-1082-1083-1088-1069-1086-1073-1080-1079-1081-1084</t>
  </si>
  <si>
    <t>ΤΡΙΧΑΣ</t>
  </si>
  <si>
    <t>ΑΜ461795</t>
  </si>
  <si>
    <t>1074-1076-1077-1087-1091</t>
  </si>
  <si>
    <t>ΑΙ227223</t>
  </si>
  <si>
    <t>706,2</t>
  </si>
  <si>
    <t>1324,2</t>
  </si>
  <si>
    <t>1070-1089-1069-1072-1078-1073-1085-1086-1079-1074-1075-1076-1088-1081</t>
  </si>
  <si>
    <t>ΓΑΙΤΑΝΗΣ</t>
  </si>
  <si>
    <t>ΑΝ349016</t>
  </si>
  <si>
    <t>1081-1073-1078-1082-1079-1074-1075-1076-1077-1085-1086-1087-1088</t>
  </si>
  <si>
    <t>ΧΑΙΜΑΝΤΑΣ</t>
  </si>
  <si>
    <t>ΑΙ677595</t>
  </si>
  <si>
    <t>633,6</t>
  </si>
  <si>
    <t>1321,6</t>
  </si>
  <si>
    <t>ΚΟΛΛΙΑ</t>
  </si>
  <si>
    <t>ΑΣΗΜΙΝΑ</t>
  </si>
  <si>
    <t>ΑΖ219759</t>
  </si>
  <si>
    <t>1319,8</t>
  </si>
  <si>
    <t>1070-1085-1089-1072-1078-1069-1073-1086-1087-1090-1075-1076-1074-1081-1079-1077</t>
  </si>
  <si>
    <t>ΦΑΦΑΣ</t>
  </si>
  <si>
    <t>ΑΖ738936</t>
  </si>
  <si>
    <t>1070-1069-1085-1073-1089-1081-1078-1072-1079-1086-1087-1074-1075-1076-1077-1080-1090</t>
  </si>
  <si>
    <t>ΜΟΥΡΑΤΙΔΗΣ</t>
  </si>
  <si>
    <t>ΑΖ690903</t>
  </si>
  <si>
    <t>1319,4</t>
  </si>
  <si>
    <t>ΚΑΡΑΚΩΣΤΑΣ</t>
  </si>
  <si>
    <t>ΑΕ340825</t>
  </si>
  <si>
    <t>1081-1069-1071-1072-1073-1074-1075-1076-1077-1078-1079-1082-1083-1085-1086-1087-1088-1089-1091</t>
  </si>
  <si>
    <t>ΚΑΤΣΙΜΑΡΔΟΣ</t>
  </si>
  <si>
    <t>ΣΩΤΗΡΗΣ</t>
  </si>
  <si>
    <t>ΑΚ653639</t>
  </si>
  <si>
    <t>1087-1091-1075-1076-1077-1074-1071-1072-1089-1069-1088-1086-1085-1078-1083-1082-1073-1079-1080-1081-1084-1005</t>
  </si>
  <si>
    <t>ΓΡΗΓΟΡΙΑΔΗΣ</t>
  </si>
  <si>
    <t>ΑΗ873057</t>
  </si>
  <si>
    <t>1069-1071-1072-1073-1074-1075-1076-1077-1078-1079-1081-1082-1083-1084-1085-1086-1087-1088-1089</t>
  </si>
  <si>
    <t>ΤΣΙΑΚΑΛΟΥ</t>
  </si>
  <si>
    <t>ΑΙ074714</t>
  </si>
  <si>
    <t>1316,9</t>
  </si>
  <si>
    <t>1070-1084-1069-1071-1072-1073-1074-1075-1076-1077-1078-1079-1080-1081-1082-1083-1085-1086-1087-1088-1089-1090-1091</t>
  </si>
  <si>
    <t>ΓΙΔΑΡΟΚΩΣΤΑ</t>
  </si>
  <si>
    <t>ΑΗ763720</t>
  </si>
  <si>
    <t>1316,5</t>
  </si>
  <si>
    <t>1069-1085-1078</t>
  </si>
  <si>
    <t>ΜΕΜΜΟΣ</t>
  </si>
  <si>
    <t>Φ135516</t>
  </si>
  <si>
    <t>1314,3</t>
  </si>
  <si>
    <t>1075-1077-1076-1074-1087</t>
  </si>
  <si>
    <t>ΧΡΙΣΤΟΔΟΥΛΟΠΟΥΛΟΥ</t>
  </si>
  <si>
    <t>ΕΙΡΗΝΗ ΙΩΑΝΝΑ</t>
  </si>
  <si>
    <t>ΧΡΙΣΤΟΔΟΥΛΟΣ</t>
  </si>
  <si>
    <t>ΑΖ866528</t>
  </si>
  <si>
    <t>1313,2</t>
  </si>
  <si>
    <t>1086-1079-1072-1085</t>
  </si>
  <si>
    <t>ΔΑΜΙΑΝΑΚΗΣ</t>
  </si>
  <si>
    <t>ΜΙΝΩΣ</t>
  </si>
  <si>
    <t>ΑΗ961512</t>
  </si>
  <si>
    <t>1074-1075-1076-1077</t>
  </si>
  <si>
    <t>ΝΑΚΟΣ</t>
  </si>
  <si>
    <t>ΑΗ165448</t>
  </si>
  <si>
    <t>1308,1</t>
  </si>
  <si>
    <t>1069-1071-1072-1073-1074-1075-1076-1077-1078-1079-1080-1081-1082-1083-1084-1085-1086-1087-1088-1089</t>
  </si>
  <si>
    <t>ΠΑΠΑΧΡΗΣΤΟΣ</t>
  </si>
  <si>
    <t>ΑΖ251020</t>
  </si>
  <si>
    <t>1073-1071-1072-1005-1078-1085-1079-1086-1091-1087-1088-1082-1083-1074-1075-1076-1077-1069-1089-1081</t>
  </si>
  <si>
    <t>ΒΡΟΝΤΟΣ</t>
  </si>
  <si>
    <t>ΒΑΣΙΛΗΣ</t>
  </si>
  <si>
    <t>ΑΗ705969</t>
  </si>
  <si>
    <t>1307,7</t>
  </si>
  <si>
    <t>1069-1070-1074-1075-1076-1077-1078-1087-1090-1091-1092</t>
  </si>
  <si>
    <t>ΞΥΔΟΥ</t>
  </si>
  <si>
    <t>ΑΚ458570</t>
  </si>
  <si>
    <t>1307,1</t>
  </si>
  <si>
    <t>1072-1089-1077-1085-1086-1079-1078-1087-1074-1075-1076-1069-1073-1081</t>
  </si>
  <si>
    <t>ΣΙΜΟΥΔΗΣ</t>
  </si>
  <si>
    <t>ΑΕ663369</t>
  </si>
  <si>
    <t>687,5</t>
  </si>
  <si>
    <t>1305,5</t>
  </si>
  <si>
    <t>1078-1079-1073-1080</t>
  </si>
  <si>
    <t>ΑΑ355553</t>
  </si>
  <si>
    <t>1303,3</t>
  </si>
  <si>
    <t>1072-1071-1005-1089-1085-1091-1090-1092-1087-1074-1075-1076-1077</t>
  </si>
  <si>
    <t>ΚΟΛΕΤΣΗ</t>
  </si>
  <si>
    <t>ΑΓΑΠΗ</t>
  </si>
  <si>
    <t>ΑΗ534003</t>
  </si>
  <si>
    <t>1070-1089-1088-1085-1087-1079-1072-1091-1092-1071-1073-1069-1081-1078-1082-1083-1086-1090-1077-1080-1075-1076-1074-1084</t>
  </si>
  <si>
    <t>ΜΩΥΣΙΔΟΥ</t>
  </si>
  <si>
    <t>ΑΑ365859</t>
  </si>
  <si>
    <t>ΤΡΙΑΝΤΑΦΥΛΛΑΚΗ</t>
  </si>
  <si>
    <t>ΑΖ963652</t>
  </si>
  <si>
    <t>1300,1</t>
  </si>
  <si>
    <t>1077-1074-1076-1075-1087-1091-1092-1090-1078-1072-1085-1082-1083-1086-1089</t>
  </si>
  <si>
    <t>ΑΖ575551</t>
  </si>
  <si>
    <t>1072-1085-1086-1069-1089-1078</t>
  </si>
  <si>
    <t>ΚΟΥΤΣΙΑΥΤΗΣ</t>
  </si>
  <si>
    <t>ΑΖ979479</t>
  </si>
  <si>
    <t>680,9</t>
  </si>
  <si>
    <t>1298,9</t>
  </si>
  <si>
    <t>1089-1085-1071-1069-1078-1072</t>
  </si>
  <si>
    <t>ΚΟΥΤΡΑΚΟΣ</t>
  </si>
  <si>
    <t>ΑΝ399360</t>
  </si>
  <si>
    <t>1298,2</t>
  </si>
  <si>
    <t>1079-1078-1081-1082-1083-1088-1069-1073-1072-1071-1089-1070-1086-1085-1090-1091-1074-1075-1076-1077-1087</t>
  </si>
  <si>
    <t>ΑΖ380523</t>
  </si>
  <si>
    <t>1296,4</t>
  </si>
  <si>
    <t>ΚΑΠΡΑΝΑΣ</t>
  </si>
  <si>
    <t>ΑΖ783074</t>
  </si>
  <si>
    <t>607,2</t>
  </si>
  <si>
    <t>1295,2</t>
  </si>
  <si>
    <t>1072-1089-1069-1085-1086</t>
  </si>
  <si>
    <t>ΜΑΥΡΙΔΗΣ</t>
  </si>
  <si>
    <t>Ξ955186</t>
  </si>
  <si>
    <t>1074-1075-1077-1076-1087-1091</t>
  </si>
  <si>
    <t>ΠΑΝΤΑΖΗΣ</t>
  </si>
  <si>
    <t>ΑΝ499253</t>
  </si>
  <si>
    <t>673,2</t>
  </si>
  <si>
    <t>1291,2</t>
  </si>
  <si>
    <t>ΤΕΜΠΕΛΗΣ</t>
  </si>
  <si>
    <t>ΑΚ488373</t>
  </si>
  <si>
    <t>672,1</t>
  </si>
  <si>
    <t>1290,1</t>
  </si>
  <si>
    <t>ΓΚΟΥΝΤΑΚΟΣ</t>
  </si>
  <si>
    <t>Χ242318</t>
  </si>
  <si>
    <t>1289,9</t>
  </si>
  <si>
    <t>1073-1078-1076-1086-1091-1077-1081</t>
  </si>
  <si>
    <t>ΚΑΦΑΣΗ</t>
  </si>
  <si>
    <t>Χ994391</t>
  </si>
  <si>
    <t>1287,8</t>
  </si>
  <si>
    <t>1087-1090-1091-1074-1076-1075-1077</t>
  </si>
  <si>
    <t>ΑΝΔΡΙΤΣΟΥ</t>
  </si>
  <si>
    <t>ΑΓΑΜΕΜΝΩΝ</t>
  </si>
  <si>
    <t>Χ310136</t>
  </si>
  <si>
    <t>1287,4</t>
  </si>
  <si>
    <t>ΜΑΝΝΕΣ</t>
  </si>
  <si>
    <t>ΑΗ097102</t>
  </si>
  <si>
    <t>1287,2</t>
  </si>
  <si>
    <t>1283,2</t>
  </si>
  <si>
    <t>ΚΑΡΒΟΥΝΗΣ</t>
  </si>
  <si>
    <t>ΑΚ377097</t>
  </si>
  <si>
    <t>1069-1087-1086-1070</t>
  </si>
  <si>
    <t>1282,1</t>
  </si>
  <si>
    <t>ΔΡΟΣΑΝΑΚΗ</t>
  </si>
  <si>
    <t>ΑΚ473688</t>
  </si>
  <si>
    <t>843,7</t>
  </si>
  <si>
    <t>1281,7</t>
  </si>
  <si>
    <t>Καπερώνης</t>
  </si>
  <si>
    <t>Χρήστος</t>
  </si>
  <si>
    <t>Δημήτριος</t>
  </si>
  <si>
    <t>ΑΙ850503</t>
  </si>
  <si>
    <t>852,5</t>
  </si>
  <si>
    <t>1278,5</t>
  </si>
  <si>
    <t>1069-1078-1076-1077-1075-1074-1087-1085-1079-1073-1081-1072-1086-1089</t>
  </si>
  <si>
    <t>ΣΥΨΑΣ</t>
  </si>
  <si>
    <t>ΓΕΩΡΓ</t>
  </si>
  <si>
    <t>ΑΕ724486</t>
  </si>
  <si>
    <t>ΠΑΡΑΣΚΕΥΟΠΟΥΛΟΥ</t>
  </si>
  <si>
    <t>ΣΥΜΕΛΑ</t>
  </si>
  <si>
    <t>ΑΖ670056</t>
  </si>
  <si>
    <t>1277,3</t>
  </si>
  <si>
    <t>ΚΕΣΙΣΟΓΛΟΥ</t>
  </si>
  <si>
    <t>ΑΑ226505</t>
  </si>
  <si>
    <t>1078-1079-1081-1080-1073</t>
  </si>
  <si>
    <t>ΑΜΠΛΙΑΝΙΤΗ</t>
  </si>
  <si>
    <t>ΑΛΙΚΗ</t>
  </si>
  <si>
    <t>Χ779317</t>
  </si>
  <si>
    <t>ΑΕ293788</t>
  </si>
  <si>
    <t>1275,9</t>
  </si>
  <si>
    <t>1078-1085-1088-1076-1075-1089-1090-1083-1082-1079-1081-1073-1074-1072</t>
  </si>
  <si>
    <t>ΦΕΚΑΣ</t>
  </si>
  <si>
    <t>ΑΑ976941</t>
  </si>
  <si>
    <t>875,6</t>
  </si>
  <si>
    <t>1274,6</t>
  </si>
  <si>
    <t>ΣΩΤΗΡΟΠΟΥΛΟΣ</t>
  </si>
  <si>
    <t>Μ477777</t>
  </si>
  <si>
    <t>655,6</t>
  </si>
  <si>
    <t>1273,6</t>
  </si>
  <si>
    <t>ΤΣΙΑΝΤΟΥ</t>
  </si>
  <si>
    <t>Χ932665</t>
  </si>
  <si>
    <t>1273,4</t>
  </si>
  <si>
    <t>1085-1089-1083-1082-1069-1088-1078-1091-1071-1072-1073-1079-1086-1081-1087-1074-1075-1076-1077-1084-1005</t>
  </si>
  <si>
    <t>ΤΡΙΠΟΔΗ</t>
  </si>
  <si>
    <t>ΑΚ983440</t>
  </si>
  <si>
    <t>1272,5</t>
  </si>
  <si>
    <t>ΚΑΝΑΡΑΣ</t>
  </si>
  <si>
    <t>ΑΝΑΡΓΥΡΟΣ</t>
  </si>
  <si>
    <t>ΑΗ554827</t>
  </si>
  <si>
    <t>1271,8</t>
  </si>
  <si>
    <t>1072-1071-1089-1085-1069-1078-1074-1075-1076-1077-1087-1086-1079-1073-1081</t>
  </si>
  <si>
    <t>ΚΑΣΑΠΑΚΗ</t>
  </si>
  <si>
    <t>ΑΚ743810</t>
  </si>
  <si>
    <t>1271,4</t>
  </si>
  <si>
    <t>1074-1075-1076-1077-1087-1078-1079-1069-1072-1089-1073-1085-1081-1086</t>
  </si>
  <si>
    <t>ΜΑΚΡΑΚΗ</t>
  </si>
  <si>
    <t>ΑΕ518057</t>
  </si>
  <si>
    <t>652,3</t>
  </si>
  <si>
    <t>1270,3</t>
  </si>
  <si>
    <t>ΔΟΥΚΙΑΝΤΖΑΚΗΣ</t>
  </si>
  <si>
    <t>ΑΝ049128</t>
  </si>
  <si>
    <t>1266,2</t>
  </si>
  <si>
    <t>1071-1072-1074-1075-1076-1077-1087-1091</t>
  </si>
  <si>
    <t>ΑΝΔΡΕΑΔΗ</t>
  </si>
  <si>
    <t>ΑΕ142605</t>
  </si>
  <si>
    <t>1265,1</t>
  </si>
  <si>
    <t>ΣΑΛΕΠΤΣΗΣ</t>
  </si>
  <si>
    <t>ΑΒ109210</t>
  </si>
  <si>
    <t>1264,1</t>
  </si>
  <si>
    <t>1081-1078-1073-1085-1080-1083-1088-1069-1070-1072-1082-1079-1086-1089-1071-1077-1092-1091-1087-1075-1076-1090-1074-1084</t>
  </si>
  <si>
    <t>1263,7</t>
  </si>
  <si>
    <t>ΒΑΒΑΔΑΚΗ</t>
  </si>
  <si>
    <t>ΑΙ964787</t>
  </si>
  <si>
    <t>1087-1091-1092-1090-1075-1076</t>
  </si>
  <si>
    <t>ΚΟΛΟΒΟΣ</t>
  </si>
  <si>
    <t>ΑΗ220647</t>
  </si>
  <si>
    <t>1261,2</t>
  </si>
  <si>
    <t>1070-1069-1087-1086</t>
  </si>
  <si>
    <t>ΛΑΜΠΡΙΤΣΙΟΥ</t>
  </si>
  <si>
    <t>ΑΖ274037</t>
  </si>
  <si>
    <t>ΜΕΝΕΓΑΚΗΣ</t>
  </si>
  <si>
    <t>ΑΗ465661</t>
  </si>
  <si>
    <t>ΑΜ557445</t>
  </si>
  <si>
    <t>1257,1</t>
  </si>
  <si>
    <t>1071-1072-1086-1089</t>
  </si>
  <si>
    <t>ΜΠΑΛΑΟΥΡΑΣ</t>
  </si>
  <si>
    <t>ΝΑΠΟΛΕΩΝ</t>
  </si>
  <si>
    <t>ΑΗ245632</t>
  </si>
  <si>
    <t>1256,8</t>
  </si>
  <si>
    <t>1069-1070</t>
  </si>
  <si>
    <t>ΒΛΑΧΟΣ</t>
  </si>
  <si>
    <t>ΑΖ205513</t>
  </si>
  <si>
    <t>634,7</t>
  </si>
  <si>
    <t>1252,7</t>
  </si>
  <si>
    <t>1089-1085-1071-1069-1079-1072-1078-1087-1073-1081</t>
  </si>
  <si>
    <t>ΥΓΕΙΟΝΟΜΑΚΗ</t>
  </si>
  <si>
    <t>ΚΟΚΚΙΜΙΔΗΣ</t>
  </si>
  <si>
    <t>ΑΕ454457</t>
  </si>
  <si>
    <t>1245,2</t>
  </si>
  <si>
    <t>ΠΕΡΥΣΙΝΑΚΗ</t>
  </si>
  <si>
    <t>ΑΚ470211</t>
  </si>
  <si>
    <t>1244,9</t>
  </si>
  <si>
    <t>1077-1075-1076-1074-1087-1091-1078-1072-1073-1085-1079-1082-1083-1071-1086-1089-1084-1088-1069-1081-1005</t>
  </si>
  <si>
    <t>ΝΑΣΙΩΚΑ</t>
  </si>
  <si>
    <t>ΑΙ621967</t>
  </si>
  <si>
    <t>1241,5</t>
  </si>
  <si>
    <t>1071-1072-1078-1088-1085-1082-1083-1089-1074-1075-1076-1077-1091-1092-1087-1086-1079-1081-1073</t>
  </si>
  <si>
    <t>ΜΠΑΙΡΑΚΤΑΡΗΣ</t>
  </si>
  <si>
    <t>ΑΖ990982</t>
  </si>
  <si>
    <t>ΤΖΑΝΑΚΑΚΗΣ</t>
  </si>
  <si>
    <t>ΝΙΚΟΛΑΟΣ ΕΥΣΤΑΘΙΟΣ</t>
  </si>
  <si>
    <t>ΑΖ204344</t>
  </si>
  <si>
    <t>1073-1071-1072-1078-1085-1079-1086-1091-1087-1088-1082-1083-1074-1075-1076-1077-1069-1089-1081</t>
  </si>
  <si>
    <t>ΚΟΥΚΟΥΤΣΑΚΗ</t>
  </si>
  <si>
    <t>ΑΑ991130</t>
  </si>
  <si>
    <t>1237,8</t>
  </si>
  <si>
    <t>ΠΕΤΡΟΥΛΑΚΗ</t>
  </si>
  <si>
    <t>ΑΒ039065</t>
  </si>
  <si>
    <t>1232,3</t>
  </si>
  <si>
    <t>1072-1071-1078-1087-1077-1074-1075-1076-1085</t>
  </si>
  <si>
    <t>ΔΕΜΕΡΤΖΙΔΟΥ</t>
  </si>
  <si>
    <t>ΑΕ820662</t>
  </si>
  <si>
    <t>ΝΙΤΣΑΣ</t>
  </si>
  <si>
    <t>Χ274099</t>
  </si>
  <si>
    <t>641,3</t>
  </si>
  <si>
    <t>1229,3</t>
  </si>
  <si>
    <t>ΔΑΚΑΝΑΛΗ</t>
  </si>
  <si>
    <t>ΑΙ948282</t>
  </si>
  <si>
    <t>1229,1</t>
  </si>
  <si>
    <t>ΣΟΥΡΜΠΑΤΗ</t>
  </si>
  <si>
    <t>Φ072162</t>
  </si>
  <si>
    <t>1228,9</t>
  </si>
  <si>
    <t>1072-1079</t>
  </si>
  <si>
    <t>ΓΚΟΓΚΟΣ</t>
  </si>
  <si>
    <t>Χ 908841</t>
  </si>
  <si>
    <t>1222,8</t>
  </si>
  <si>
    <t>1069-1085-1078-1073-1089-1081-1072-1074-1075-1076-1077-1087-1086-1079</t>
  </si>
  <si>
    <t>ΑΙ160966</t>
  </si>
  <si>
    <t>1078-1073-1079-1082-1083-1088-1072-1077-1089-1085-1086-1071-1074-1075-1076-1087-1091-1005</t>
  </si>
  <si>
    <t>ΛΟΥΛΟΣ</t>
  </si>
  <si>
    <t>ΑΚ385329</t>
  </si>
  <si>
    <t>1078-1069-1088-1070-1082-1083-1086-1091-1092-1073-1074-1075-1076-1087-1079-1085-1081-1090</t>
  </si>
  <si>
    <t>ΑΝΔΡΙΑΝΟΣ</t>
  </si>
  <si>
    <t>ΑΜ112087</t>
  </si>
  <si>
    <t>1206,5</t>
  </si>
  <si>
    <t>1091-1092-1090-1087-1074-1075-1076-1077-1072-1070-1078-1082-1083-1086-1085-1088-1069-1089-1071-1084-1081-1073-1079-1080</t>
  </si>
  <si>
    <t>Φ257613</t>
  </si>
  <si>
    <t>1203,9</t>
  </si>
  <si>
    <t>1072-1073-1074-1091-1076-1077-1078-1079-1083-1084-1085-1086-1087-1088-1089-1075-1005-1069-1082-1081-1071</t>
  </si>
  <si>
    <t>ΚΥΡΑΝΗ</t>
  </si>
  <si>
    <t>ΒΡΑΣΙΔΑΣ</t>
  </si>
  <si>
    <t>ΑΑ886028</t>
  </si>
  <si>
    <t>1201,4</t>
  </si>
  <si>
    <t>1069-1071-1072-1073-1074-1076-1077-1078-1079-1080-1081-1082-1083-1084-1085-1086-1087-1088-1089-1090</t>
  </si>
  <si>
    <t>1200,7</t>
  </si>
  <si>
    <t>ΑΝΔΡΙΚΟΠΟΥΛΟΥ</t>
  </si>
  <si>
    <t>ΛΟΥΙΖΑ</t>
  </si>
  <si>
    <t>ΖΑΦΕΙΡΙΟΣ</t>
  </si>
  <si>
    <t>ΑΖ776434</t>
  </si>
  <si>
    <t>1199,3</t>
  </si>
  <si>
    <t>1085-1069-1070-1071-1072-1073-1078-1079-1080-1081-1082-1083-1088-1089-1086-1090-1091-1092-1087-1074-1075-1076-1077-1084</t>
  </si>
  <si>
    <t>ΠΟΥΝΤΖΑΣ</t>
  </si>
  <si>
    <t>ΑΜ733691</t>
  </si>
  <si>
    <t>1198,1</t>
  </si>
  <si>
    <t>ΒΟΥΛΓΑΡΗΣ</t>
  </si>
  <si>
    <t>ΑΒ102957</t>
  </si>
  <si>
    <t>1193,5</t>
  </si>
  <si>
    <t>1083-1082-1069-1085-1071-1072-1073-1074-1075-1076-1077-1078-1079-1081-1086-1087-1088-1089-1091</t>
  </si>
  <si>
    <t>ΠΛΕΞΙΔΑ</t>
  </si>
  <si>
    <t>ΑΒ604141</t>
  </si>
  <si>
    <t>1192,7</t>
  </si>
  <si>
    <t>ΚΟΥΤΑ</t>
  </si>
  <si>
    <t>ΑΑ312074</t>
  </si>
  <si>
    <t>1188,8</t>
  </si>
  <si>
    <t>1072-1086-1088-1075</t>
  </si>
  <si>
    <t>ΚΩΤΣΗ</t>
  </si>
  <si>
    <t>ΑΡΕΤΗ</t>
  </si>
  <si>
    <t>ΑΑ335365</t>
  </si>
  <si>
    <t>1185,4</t>
  </si>
  <si>
    <t>1078-1085-1088-1079-1073-1083-1091-1087-1075-1072-1086-1089-1071-1084-1081-1076-1077-1074-1069-1082</t>
  </si>
  <si>
    <t>ΘΕΟΦΙΛΟΠΟΥΛΟΥ</t>
  </si>
  <si>
    <t>ΑΑ448102</t>
  </si>
  <si>
    <t>1178,2</t>
  </si>
  <si>
    <t>1086-1081-1069-1073-1078-1085-1079-1072-1089-1087-1075-1076-1074-1077</t>
  </si>
  <si>
    <t>ΛΑΛΑ</t>
  </si>
  <si>
    <t>Χ907153</t>
  </si>
  <si>
    <t>947,1</t>
  </si>
  <si>
    <t>1176,1</t>
  </si>
  <si>
    <t>1082-1083-1085-1069-1088-1078-1072-1084-1074-1075-1076-1077-1079-1086-1087-1091-1073-1071-1089-1081</t>
  </si>
  <si>
    <t>ΚΥΡΙΑΚΟΥ</t>
  </si>
  <si>
    <t>ΑΕ169106</t>
  </si>
  <si>
    <t>1078-1073-1090-1091-1092-1086-1074-1075-1076-1077-1087-1082-1083-1085-1081-1084-1079-1069-1088-1072-1089-1071-1070-1080</t>
  </si>
  <si>
    <t>ΓΕΩΡΓΙΑΔΗ</t>
  </si>
  <si>
    <t>Χ809672</t>
  </si>
  <si>
    <t>1172,5</t>
  </si>
  <si>
    <t>1078-1086-1091-1074-1075-1076-1082-1083-1073-1072-1071-1069</t>
  </si>
  <si>
    <t>ΣΤΕΦΑΝΙΔΟΥ</t>
  </si>
  <si>
    <t>ΑΕ408593</t>
  </si>
  <si>
    <t>1169,8</t>
  </si>
  <si>
    <t>1079-1072-1071-1077-1089-1073-1078-1083-1082-1085-1088-1069-1081-1091-1074-1075-1076-1087-1086-1005</t>
  </si>
  <si>
    <t>ΚΟΝΤΟΓΙΑΝΝΗΣ</t>
  </si>
  <si>
    <t>ΑΑ350914</t>
  </si>
  <si>
    <t>1169,4</t>
  </si>
  <si>
    <t>1072-1069-1085-1089-1087-1075-1076-1074-1077-1086-1078-1079-1073-1081</t>
  </si>
  <si>
    <t>ΚΟΚΟΣΗ</t>
  </si>
  <si>
    <t>ΑΓΓΕΛΙΚΗ ΓΕΩΡΓΙΑ</t>
  </si>
  <si>
    <t>Χ808449</t>
  </si>
  <si>
    <t>1086-1071-1072-1069-1088-1078-1089-1085-1082-1083-1092-1091-1087-1076-1075-1074-1077-1081-1073-1079-1084</t>
  </si>
  <si>
    <t>ΦΟΥΝΤΟΥΛΑΚΗΣ</t>
  </si>
  <si>
    <t>Χ017595</t>
  </si>
  <si>
    <t>1072-1071-1086-1089-1085-1082-1083-1088-1069-1078-1081-1073-1079-1091-1092-1087-1074-1075-1076-1077-1005</t>
  </si>
  <si>
    <t>ΑΝΥΦΑΝΤΑΚΗ</t>
  </si>
  <si>
    <t>ΑΒ183251</t>
  </si>
  <si>
    <t>948,2</t>
  </si>
  <si>
    <t>1168,2</t>
  </si>
  <si>
    <t>1076-1077-1075-1074-1087</t>
  </si>
  <si>
    <t>ΑΓΟΡΙΤΣΑ</t>
  </si>
  <si>
    <t>Χ205834</t>
  </si>
  <si>
    <t>831,6</t>
  </si>
  <si>
    <t>1166,6</t>
  </si>
  <si>
    <t>1089-1071-1072-1085-1082-1083-1069-1088-1086-1073-1084</t>
  </si>
  <si>
    <t>ΠΑΠΑΛΟΥ</t>
  </si>
  <si>
    <t>ΑΖ287605</t>
  </si>
  <si>
    <t>1165,9</t>
  </si>
  <si>
    <t>1069-1088-1082-1083-1085-1078-1089-1073-1079-1081-1072-1071-1086-1074-1075-1076-1077-1087</t>
  </si>
  <si>
    <t>ΤΣΑΠΑΡΛΗΣ</t>
  </si>
  <si>
    <t>ΑΜ695584</t>
  </si>
  <si>
    <t>1078-1082-1083-1069-1088-1089-1085-1071-1073-1072-1081-1079-1074-1075-1076-1077-1084-1086-1091-1087</t>
  </si>
  <si>
    <t>ΚΑΖΑΝΤΖΙΔΟΥ</t>
  </si>
  <si>
    <t>Χ260680</t>
  </si>
  <si>
    <t>887,7</t>
  </si>
  <si>
    <t>1157,7</t>
  </si>
  <si>
    <t>1078-1073-1080-1079-1085-1091-1092-1090-1076-1087-1088-1069-1072-1089-1005-1071-1086-1074-1077-1075-1084-1083-1082-1070-1081</t>
  </si>
  <si>
    <t>ΛΕΝΗΣ</t>
  </si>
  <si>
    <t>ΑΗ031472</t>
  </si>
  <si>
    <t>1155,4</t>
  </si>
  <si>
    <t>ΚΟΛΛΑΤΟΥ</t>
  </si>
  <si>
    <t>ΑΝΝΑ-ΜΑΡΙΑ</t>
  </si>
  <si>
    <t>ΑΒ833164</t>
  </si>
  <si>
    <t>1154,9</t>
  </si>
  <si>
    <t>1069-1082-1083-1085-1088</t>
  </si>
  <si>
    <t>ΚΟΚΟΤΟΥ</t>
  </si>
  <si>
    <t>ΦΑΙΔΡΑ-ΕΛΕΝΗ</t>
  </si>
  <si>
    <t>ΑΒ607695</t>
  </si>
  <si>
    <t>1150,5</t>
  </si>
  <si>
    <t>1071-1072-1078-1089-1069-1073-1074-1075-1085-1076-1077-1079-1081-1082-1083-1084-1086-1087-1088-1091-1005</t>
  </si>
  <si>
    <t>ΦΩΤΕΙΝΟΥ</t>
  </si>
  <si>
    <t>ΑΙ390317</t>
  </si>
  <si>
    <t>1149,2</t>
  </si>
  <si>
    <t>1148,1</t>
  </si>
  <si>
    <t>1143,2</t>
  </si>
  <si>
    <t>1141,5</t>
  </si>
  <si>
    <t>ΚΕΝΑΝΙΔΟΥ</t>
  </si>
  <si>
    <t>ΧΡΥΣΑΝΘΗ</t>
  </si>
  <si>
    <t>ΑΜ408667</t>
  </si>
  <si>
    <t>1141,2</t>
  </si>
  <si>
    <t>1092-1078-1073-1079-1085-1081-1082-1083-1069-1088-1089-1074-1075-1076-1077-1087-1084-1072-1071-1086</t>
  </si>
  <si>
    <t>ΒΙΤΩΡΑΚΗΣ</t>
  </si>
  <si>
    <t>ΑΚ052700</t>
  </si>
  <si>
    <t>1138,9</t>
  </si>
  <si>
    <t>1077-1074-1075-1076-1087-1072-1089</t>
  </si>
  <si>
    <t>ΚΑΛΥΒΑΣ</t>
  </si>
  <si>
    <t>ΑΑ909027</t>
  </si>
  <si>
    <t>1137,1</t>
  </si>
  <si>
    <t>1085-1078-1089-1088-1072-1069-1082-1083-1081-1079-1073-1071-1091-1087-1075-1074-1077-1076-1086</t>
  </si>
  <si>
    <t>ΔΑΛΛΙΟΣ</t>
  </si>
  <si>
    <t>ΑΒ121398</t>
  </si>
  <si>
    <t>1136,6</t>
  </si>
  <si>
    <t>1078-1073-1082-1081-1085-1089-1079</t>
  </si>
  <si>
    <t>1131,6</t>
  </si>
  <si>
    <t>ΣΚΟΥΠΡΑΣ</t>
  </si>
  <si>
    <t>Χ413754</t>
  </si>
  <si>
    <t>1125,9</t>
  </si>
  <si>
    <t>1082-1083-1069-1088-1085-1081-1073-1078-1079-1089</t>
  </si>
  <si>
    <t>ΝΑΝΟΣ</t>
  </si>
  <si>
    <t>ΑΖ787874</t>
  </si>
  <si>
    <t>1122,4</t>
  </si>
  <si>
    <t>1081-1073-1078-1085-1079</t>
  </si>
  <si>
    <t>ΜΠΟΥΛΑΣΙΚΗΣ</t>
  </si>
  <si>
    <t>ΑΒ102988</t>
  </si>
  <si>
    <t>1121,2</t>
  </si>
  <si>
    <t>1083-1069-1088-1082-1085-1089-1073-1078-1071-1072-1079-1081-1091-1075-1087-1076-1074-1077-1086</t>
  </si>
  <si>
    <t>ΜΠΑΤΣΟΥΚΑ</t>
  </si>
  <si>
    <t>ΠΑΡΑΣΚΕΥΗ ΜΑΡΙΑ</t>
  </si>
  <si>
    <t>ΑΖ287991</t>
  </si>
  <si>
    <t>1116,4</t>
  </si>
  <si>
    <t>1083-1082-1078-1088-1069-1085-1072-1089</t>
  </si>
  <si>
    <t>ΚΑΛΟΓΕΡΑΚΗ</t>
  </si>
  <si>
    <t>Χ962869</t>
  </si>
  <si>
    <t>1114,3</t>
  </si>
  <si>
    <t>ΠΟΛΥΖΟΥ</t>
  </si>
  <si>
    <t>ΔΙΟΝΥΣΙΑ</t>
  </si>
  <si>
    <t>ΑΕ220413</t>
  </si>
  <si>
    <t>1113,7</t>
  </si>
  <si>
    <t>1086-1091-1074-1076-1084-1085-1087-1072-1089-1082-1083-1071-1088-1069-1078-1073-1081</t>
  </si>
  <si>
    <t>ΚΑΤΟΙΚΟΣ</t>
  </si>
  <si>
    <t>Χ275653</t>
  </si>
  <si>
    <t>1112,8</t>
  </si>
  <si>
    <t>ΖΑΠΡΗΣ</t>
  </si>
  <si>
    <t>Χ991526</t>
  </si>
  <si>
    <t>1101,1</t>
  </si>
  <si>
    <t>ΜΟΣΧΟΒΑΚΗ</t>
  </si>
  <si>
    <t>Χ654305</t>
  </si>
  <si>
    <t>1099,5</t>
  </si>
  <si>
    <t>1072-1071-1089-1086-1075-1074-1076-1077-1087-1085-1078-1088-1091-1092-1079-1073-1082-1083-1070-1069</t>
  </si>
  <si>
    <t>ΓΕΩΡΓΙΟΥ</t>
  </si>
  <si>
    <t>ΑΖ305626</t>
  </si>
  <si>
    <t>1097,7</t>
  </si>
  <si>
    <t>1081-1078-1073-1082-1083-1085-1079-1080-1069-1070-1071-1072-1074-1075-1076-1077-1087-1090-1091-1092</t>
  </si>
  <si>
    <t>ΚΟΥΣΙΔΟΥ</t>
  </si>
  <si>
    <t>ΑΒ122334</t>
  </si>
  <si>
    <t>1097,1</t>
  </si>
  <si>
    <t>1079-1085-1069-1073-1081-1078-1089-1072-1086-1087-1075-1074-1076-1077</t>
  </si>
  <si>
    <t>ΤΡΟΒΙΑ</t>
  </si>
  <si>
    <t>Χ983546</t>
  </si>
  <si>
    <t>1095,9</t>
  </si>
  <si>
    <t>1089-1069-1085</t>
  </si>
  <si>
    <t>ΚΟΝΤΟΝΙΚΟΣ</t>
  </si>
  <si>
    <t>Φ475568</t>
  </si>
  <si>
    <t>1095,4</t>
  </si>
  <si>
    <t>1069-1072-1073-1078-1082-1083-1085-1088-1005</t>
  </si>
  <si>
    <t>ΚΟΥΛΟΥΡΑΣ</t>
  </si>
  <si>
    <t>ΑΚ123060</t>
  </si>
  <si>
    <t>1093,3</t>
  </si>
  <si>
    <t>1072-1071-1089-1077</t>
  </si>
  <si>
    <t>ΑΖ280754</t>
  </si>
  <si>
    <t>1089,5</t>
  </si>
  <si>
    <t>1085-1088-1089-1069-1082-1083-1078-1079-1081-1071-1072-1073-1091-1076-1075-1074-1077-1087-1084-1086</t>
  </si>
  <si>
    <t>ΑΙΚΑΤΕΡΙΝΗ-ΧΡΙΣΤΙΝΑ</t>
  </si>
  <si>
    <t>ΑΑ316195</t>
  </si>
  <si>
    <t>862,4</t>
  </si>
  <si>
    <t>1085,4</t>
  </si>
  <si>
    <t>1070-1078-1089-1085-1086-1069-1087-1076-1075-1079</t>
  </si>
  <si>
    <t>ΧΡΥΣΙΚΟΥ</t>
  </si>
  <si>
    <t>ΕΥΡΙΔΙΚΗ</t>
  </si>
  <si>
    <t>ΑΕ992797</t>
  </si>
  <si>
    <t>1081,8</t>
  </si>
  <si>
    <t>1071-1090-1091-1092-1072</t>
  </si>
  <si>
    <t>ΦΙΛΟΠΟΥΛΟΣ</t>
  </si>
  <si>
    <t>ΔΙΟΝΥΣΙΟΣ</t>
  </si>
  <si>
    <t>Χ398790</t>
  </si>
  <si>
    <t>1086-1087-1072-1085-1089-1073-1079-1078-1081-1069-1076-1074-1077-1075</t>
  </si>
  <si>
    <t>ΣΤΑΜΑΤΑΚΗΣ</t>
  </si>
  <si>
    <t>ΑΙ971802</t>
  </si>
  <si>
    <t>1092-1091-1087-1074-1075-1076-1077-1078-1072-1069-1071-1073-1079-1081-1082-1083-1085-1086-1088-1089-1005</t>
  </si>
  <si>
    <t>ΚΑΠΟΓΙΑΝΝΗ</t>
  </si>
  <si>
    <t>ΑΒ207907</t>
  </si>
  <si>
    <t>1070,2</t>
  </si>
  <si>
    <t>1072-1071-1089-1074-1075-1076-1077-1078-1079-1080-1081-1082-1083-1084-1085-1086-1087-1088-1091-1092</t>
  </si>
  <si>
    <t>Συγκούνα</t>
  </si>
  <si>
    <t>Πωλίνα</t>
  </si>
  <si>
    <t>Βασίλειος</t>
  </si>
  <si>
    <t>ΑΒ409816</t>
  </si>
  <si>
    <t>1067,3</t>
  </si>
  <si>
    <t>1078-1073-1088-1085-1081-1079-1089-1071-1009-1072-1086-1069-1083-1082-1091-1087-1076-1075-1077-1074-1084</t>
  </si>
  <si>
    <t>ΚΩΝΣΤΑΝΤΗ</t>
  </si>
  <si>
    <t>ΑΒ852773</t>
  </si>
  <si>
    <t>1078-1069-1082-1085-1079-1087-1077-1076-1075-1074-1073-1072-1081-1086-1080-1089</t>
  </si>
  <si>
    <t>ΜΠΑΡΙΑΜΗΣ</t>
  </si>
  <si>
    <t>ΑΙ304377</t>
  </si>
  <si>
    <t>ΚΟΠΑΝΟΥ</t>
  </si>
  <si>
    <t>ΑΒ105404</t>
  </si>
  <si>
    <t>1065,6</t>
  </si>
  <si>
    <t>1085-1078-1069-1072-1073-1079-1086-1089-1087-1081-1074-1075-1076-1077</t>
  </si>
  <si>
    <t>ΚΑΡΑΣΟΥΛΟΣ</t>
  </si>
  <si>
    <t>Ρ776590</t>
  </si>
  <si>
    <t>1070-1085-1086-1072-1089-1073-1079-1078-1091-1087-1074-1075-1076-1077-1081-1082-1069</t>
  </si>
  <si>
    <t>ΑΒ848005</t>
  </si>
  <si>
    <t>1063,6</t>
  </si>
  <si>
    <t>1085-1083-1082-1088-1069-1079-1081-1078-1089-1072-1073-1071-1075-1076-1077-1074-1091-1087-1084-1086-1005</t>
  </si>
  <si>
    <t>ΣΑΠΛΑΟΥΡΑΣ</t>
  </si>
  <si>
    <t>Χ657453</t>
  </si>
  <si>
    <t>1063,4</t>
  </si>
  <si>
    <t>ΚΕΦΑΛΑΣ</t>
  </si>
  <si>
    <t>ΑΑ975714</t>
  </si>
  <si>
    <t>1063,3</t>
  </si>
  <si>
    <t>1071-1072-1073-1074-1075-1076-1077-1078-1079-1081-1082-1083-1085-1086-1087-1088-1089-1091</t>
  </si>
  <si>
    <t>ΚΥΡΙΑΚΟΠΟΥΛΟΣ</t>
  </si>
  <si>
    <t>ΑΑ314788</t>
  </si>
  <si>
    <t>644,6</t>
  </si>
  <si>
    <t>1052,6</t>
  </si>
  <si>
    <t>1074-1075-1076-1077-1091-1087-1099</t>
  </si>
  <si>
    <t>ΤΣΑΜΑΝΗΣ</t>
  </si>
  <si>
    <t>Χ925200</t>
  </si>
  <si>
    <t>1051,6</t>
  </si>
  <si>
    <t>1085-1082-1069-1083-1088-1070-1071-1072-1073-1074-1075-1076-1077-1078-1079-1080-1081-1084-1086-1087-1089-1090-1091-1092</t>
  </si>
  <si>
    <t>ΜΠΙΣΜΠΑ</t>
  </si>
  <si>
    <t>Χ234342</t>
  </si>
  <si>
    <t>1049,7</t>
  </si>
  <si>
    <t>ΒΑΣΙΛΑΚΗΣ</t>
  </si>
  <si>
    <t>ΑΜ585978</t>
  </si>
  <si>
    <t>1044,6</t>
  </si>
  <si>
    <t>1075-1076-1074-1087-1091-1077</t>
  </si>
  <si>
    <t>ΜΑΡΓΩΝΗΣ</t>
  </si>
  <si>
    <t>ΑΒ092492</t>
  </si>
  <si>
    <t>1038,2</t>
  </si>
  <si>
    <t>1078-1085-1088-1069-1082-1083-1073-1086-1081-1079-1072-1091</t>
  </si>
  <si>
    <t>ΧΟΥΣΤΟΥΛΑΚΗ</t>
  </si>
  <si>
    <t>ΜΑΡΙΝΟΣ</t>
  </si>
  <si>
    <t>ΑΜ965820</t>
  </si>
  <si>
    <t>1037,6</t>
  </si>
  <si>
    <t>ΓΙΑΝΤΣΟΥΛΗΣ</t>
  </si>
  <si>
    <t>ΑΚ979949</t>
  </si>
  <si>
    <t>609,4</t>
  </si>
  <si>
    <t>1023,4</t>
  </si>
  <si>
    <t>1078-1080-1073-1081-1083-1079-1082-1085-1088-1069-1089-1071-1070-1072-1086-1074-1075-1076-1077-1090-1091-1092-1087-1084-1005</t>
  </si>
  <si>
    <t>ΣΑΚΕΛΛΑΡΙΟΣ</t>
  </si>
  <si>
    <t>ΑΝ4754294</t>
  </si>
  <si>
    <t>ΓΙΑΝΝΑΚΟΣ</t>
  </si>
  <si>
    <t>ΑΙ848732</t>
  </si>
  <si>
    <t>1088-1069-1078-1082-1083-1085-1089-1081-1073-1070-1071-1072-1079-1080-1086-1074-1075-1076-1077-1090-1091-1092-1084</t>
  </si>
  <si>
    <t>ΜΑΜΟΥΝΑΚΗΣ</t>
  </si>
  <si>
    <t>ΑΒ484204</t>
  </si>
  <si>
    <t>1019,8</t>
  </si>
  <si>
    <t>1087-1076-1074-1075-1077-1078-1086-1089-1079-1072-1069-1085-1081</t>
  </si>
  <si>
    <t>ΚΕΦΑΚΗ</t>
  </si>
  <si>
    <t>ΜΑΡΙΑ ΑΛΕΞΑΝΔΡΑ</t>
  </si>
  <si>
    <t>ΑΖ963923</t>
  </si>
  <si>
    <t>898,7</t>
  </si>
  <si>
    <t>1019,7</t>
  </si>
  <si>
    <t>ΚΟΚΟΛΑΚΗΣ</t>
  </si>
  <si>
    <t>ΑΙ438749</t>
  </si>
  <si>
    <t>1019,5</t>
  </si>
  <si>
    <t>1075-1074-1076-1077-1087</t>
  </si>
  <si>
    <t>ΑΚ901145</t>
  </si>
  <si>
    <t>1019,1</t>
  </si>
  <si>
    <t>ΚΑΡΑΣΑΧΙΝΙΔΗ</t>
  </si>
  <si>
    <t>ΑΝ040400</t>
  </si>
  <si>
    <t>1017,5</t>
  </si>
  <si>
    <t>ΔΙΚΑΙΟΥ</t>
  </si>
  <si>
    <t>Χ788519</t>
  </si>
  <si>
    <t>1015,3</t>
  </si>
  <si>
    <t>1072-1077-1071-1089-1085-1078-1090-1091-1092-1074-1075-1076-1087-1086-1082-1083-1070-1088-1069-1081-1073-1079-1080</t>
  </si>
  <si>
    <t>ΚΟΥΚΟΥΡΑΣ</t>
  </si>
  <si>
    <t>Χ830950</t>
  </si>
  <si>
    <t>1013,8</t>
  </si>
  <si>
    <t>ΚΥΖΙΡΙΔΗΣ</t>
  </si>
  <si>
    <t>Χ912583</t>
  </si>
  <si>
    <t>ΛΟΥΒΑΡΗ</t>
  </si>
  <si>
    <t>ΑΙ676387</t>
  </si>
  <si>
    <t>1072-1071-1089-1085-1086-1069-1088-1082-1083-1087-1091-1081-1078-1079-1076-1077-1075-1074-1073-1070-1092</t>
  </si>
  <si>
    <t>ΝΑΤΑ</t>
  </si>
  <si>
    <t>ΑΑ412681</t>
  </si>
  <si>
    <t>1000,5</t>
  </si>
  <si>
    <t>ΑΛΙΧΑΝΙΔΟΥ</t>
  </si>
  <si>
    <t>ΑΜ875842</t>
  </si>
  <si>
    <t>1081-1082-1083</t>
  </si>
  <si>
    <t>ΑΒ885788</t>
  </si>
  <si>
    <t>999,5</t>
  </si>
  <si>
    <t>Μανουσαρίδου</t>
  </si>
  <si>
    <t>Άννα</t>
  </si>
  <si>
    <t>Κωνσταντίνος</t>
  </si>
  <si>
    <t>ΑΜ414549</t>
  </si>
  <si>
    <t>ΚΟΜΣΗ</t>
  </si>
  <si>
    <t>ΑΕ113943</t>
  </si>
  <si>
    <t>997,4</t>
  </si>
  <si>
    <t>1078-1079-1073-1085-1081-1069-1088</t>
  </si>
  <si>
    <t>ΠΡΑΤΤΟΣ</t>
  </si>
  <si>
    <t>ΑΙ725739</t>
  </si>
  <si>
    <t>997,3</t>
  </si>
  <si>
    <t>1078-1082-1083-1085-1088-1069-1073-1079-1081-1071-1089-1072-1086-1087-1084-1074-1075-1076-1077-1070-1080-1090-1091-1092</t>
  </si>
  <si>
    <t>ΚΑΡΑΚΑΣΗ</t>
  </si>
  <si>
    <t>Χ379570</t>
  </si>
  <si>
    <t>984,5</t>
  </si>
  <si>
    <t>1072-1071-1086-1078-1091-1092-1089-1088-1074-1075-1076-1077</t>
  </si>
  <si>
    <t>ΠΑΝΑΓΙΩΤΟΥ</t>
  </si>
  <si>
    <t>ΕΛΙΣΣΑΒΕΤ ΓΕΩΡΓΙΑ</t>
  </si>
  <si>
    <t>Π544809</t>
  </si>
  <si>
    <t>632,5</t>
  </si>
  <si>
    <t>982,5</t>
  </si>
  <si>
    <t>1069-1071-1072-1073-1074-1075-1076-1077-1078-1079-1081-1082-1083-1085-1086-1087-1088-1089-1005</t>
  </si>
  <si>
    <t>ΠΡΟΚΟΠΗΣ</t>
  </si>
  <si>
    <t>Χ877984</t>
  </si>
  <si>
    <t>981,7</t>
  </si>
  <si>
    <t>1089-1071-1072</t>
  </si>
  <si>
    <t>ΚΑΟΥΡΗ</t>
  </si>
  <si>
    <t>Χ303871</t>
  </si>
  <si>
    <t>981,6</t>
  </si>
  <si>
    <t>1086-1085-1088-1069-1082-1083-1071-1072-1089-1078-1079-1073-1074-1075-1076-1077-1091-1087-1081</t>
  </si>
  <si>
    <t>ΜΕΡΚΟΒΙΤΗ</t>
  </si>
  <si>
    <t>ΚΑΤΕΡΙΝΑ</t>
  </si>
  <si>
    <t>Χ795737</t>
  </si>
  <si>
    <t>975,8</t>
  </si>
  <si>
    <t>1069-1081-1078-1085-1073-1089-1079-1072-1086-1087-1074-1075-1076-1077</t>
  </si>
  <si>
    <t>ΑΙ192806</t>
  </si>
  <si>
    <t>1069-1072-1073-1074-1078-1079-1081-1082-1085-1086-1087</t>
  </si>
  <si>
    <t>ΚΟΤΣΙΑΡΗΣ</t>
  </si>
  <si>
    <t>ΑΚ107557</t>
  </si>
  <si>
    <t>972,8</t>
  </si>
  <si>
    <t>1069-1072-1078-1085</t>
  </si>
  <si>
    <t>ΚΟΝΤΡΑ</t>
  </si>
  <si>
    <t>ΚΡΙΣΤΙΑΝΑ</t>
  </si>
  <si>
    <t>ΖΕΦ</t>
  </si>
  <si>
    <t>ΑΜ998810</t>
  </si>
  <si>
    <t>971,3</t>
  </si>
  <si>
    <t>ΠΑΠΑΡΙΖΟΣ</t>
  </si>
  <si>
    <t>Χ908090</t>
  </si>
  <si>
    <t>968,5</t>
  </si>
  <si>
    <t>1085-1082-1083-1088-1069-1089-1079-1072-1091-1087-1081-1071-1073-1086-1074-1075-1076-1077-1078</t>
  </si>
  <si>
    <t>ΜΑΝΟΥΣΑΚΗΣ</t>
  </si>
  <si>
    <t>Φ252835</t>
  </si>
  <si>
    <t>964,2</t>
  </si>
  <si>
    <t>1074-1077-1076-1075-1091-1087-1070</t>
  </si>
  <si>
    <t>ΑΛΑΜΑΝΟΣ</t>
  </si>
  <si>
    <t>ΑΕ989364</t>
  </si>
  <si>
    <t>960,2</t>
  </si>
  <si>
    <t>ΣΕΡΙΦΗΣ</t>
  </si>
  <si>
    <t>Χ208200</t>
  </si>
  <si>
    <t>959,4</t>
  </si>
  <si>
    <t>ΚΑΤΡΑΝΑΡΑΣ</t>
  </si>
  <si>
    <t>Φ224925</t>
  </si>
  <si>
    <t>1089-1071-1072-1085-1077-1074-1076-1075-1087-1079-1086-1078-1069-1091-1090-1092-1073-1081-1083-1082-1088-1070-1084-1080-1005</t>
  </si>
  <si>
    <t>ΣΚΡΕΚΑΣ</t>
  </si>
  <si>
    <t>ΠΑΣΧΑΛΗΣ</t>
  </si>
  <si>
    <t>ΑΗ3012725</t>
  </si>
  <si>
    <t>956,9</t>
  </si>
  <si>
    <t>1081-1078-1082-1083-1085-1080-1073-1069-1070-1071-1072-1074-1075-1076</t>
  </si>
  <si>
    <t>ΜΑΪΣΤΡΑΛΗ</t>
  </si>
  <si>
    <t>Π263489</t>
  </si>
  <si>
    <t>952,6</t>
  </si>
  <si>
    <t>1078-1079-1069-1072-1073-1081-1085-1086-1089-1074-1075-1076-1077-1087</t>
  </si>
  <si>
    <t>ΚΩΤΟΥΛΑΣ</t>
  </si>
  <si>
    <t>Χ414581</t>
  </si>
  <si>
    <t>951,2</t>
  </si>
  <si>
    <t>1082-1083-1069-1088-1085-1078-1081-1079-1089-1071-1072-1073-1074-1075-1076-1077-1086-1087-1091</t>
  </si>
  <si>
    <t>ΑΝΑΓΝΩΣΤΟΠΟΥΛΟΣ</t>
  </si>
  <si>
    <t>ΑΙ285949</t>
  </si>
  <si>
    <t>950,5</t>
  </si>
  <si>
    <t>1083-1082-1085-1069-1088-1089-1081-1073-1078-1079-1005-1071-1086-1087-1084-1074-1075-1076-1077</t>
  </si>
  <si>
    <t>ΛΑΜΠΡΟΓΙΑΝΝΗ</t>
  </si>
  <si>
    <t>ΑΖ863958</t>
  </si>
  <si>
    <t>947,4</t>
  </si>
  <si>
    <t>ΦΑΡΔΕΛΛΑΣ</t>
  </si>
  <si>
    <t>ΑΚ391515</t>
  </si>
  <si>
    <t>937,6</t>
  </si>
  <si>
    <t>1069-1070-1071-1073-1078-1079-1080-1081-1082-1083-1085-1086-1088-1089</t>
  </si>
  <si>
    <t>ΘΕΟΔΟΣΙΑΔΟΥ</t>
  </si>
  <si>
    <t>ΣΩΤΗΡΙΑ</t>
  </si>
  <si>
    <t>ΑΖ895650</t>
  </si>
  <si>
    <t>ΓΩΝΙΑΝΑΚΗΣ</t>
  </si>
  <si>
    <t>ΠΑΥΛΟΣ-ΒΑΣΙΛΕΙΟΣ</t>
  </si>
  <si>
    <t>ΑΑ369610</t>
  </si>
  <si>
    <t>1075-1076-1077-1074-1087-1090-1091-1092-1072-1089-1088-1082-1083-1084-1085-1086-1078-1079-1080-1081-1073-1070-1071</t>
  </si>
  <si>
    <t>ΤΣΙΜΠΟΥΚΑΣ</t>
  </si>
  <si>
    <t>ΛΟΡΕΝΙ</t>
  </si>
  <si>
    <t>ΣΠΥΡΟ</t>
  </si>
  <si>
    <t>ΑΜ758463</t>
  </si>
  <si>
    <t>929,4</t>
  </si>
  <si>
    <t>ΜΠΑΣΝΑ</t>
  </si>
  <si>
    <t>ΑΑ335103</t>
  </si>
  <si>
    <t>925,4</t>
  </si>
  <si>
    <t>1078-1082-1083-1085-1079-1069-1073-1074-1075-1076-1081-1086-1087-1088-1089-1091-1071-1072-1077-1084</t>
  </si>
  <si>
    <t>ΓΛΥΚΟΦΡΥΔΗΣ</t>
  </si>
  <si>
    <t>ΓΕΏΡΓΙΟΣ</t>
  </si>
  <si>
    <t>ΑΙ236918</t>
  </si>
  <si>
    <t>923,9</t>
  </si>
  <si>
    <t>1078-1086-1085-1089-1088-1072-1071-1073-1082-1075-1087-1091-1069</t>
  </si>
  <si>
    <t>ΒΑΛΩΖΟΥ</t>
  </si>
  <si>
    <t>ΑΑ430744</t>
  </si>
  <si>
    <t>1069-1082-1083-1085-1088-1087-1074-1075-1076-1077</t>
  </si>
  <si>
    <t>ΓΟΓΟΛΑΣ</t>
  </si>
  <si>
    <t>ΑΜ731494</t>
  </si>
  <si>
    <t>902,4</t>
  </si>
  <si>
    <t>ΑΔΑΜΑΝΤΙΑ-ΑΛΕΞΑΝΔΡΑ</t>
  </si>
  <si>
    <t>ΑΕ 753344</t>
  </si>
  <si>
    <t>901,6</t>
  </si>
  <si>
    <t>1078-1086-1091-1087-1077-1076-1075-1074-1088-1069-1085-1071-1072-1089-1081-1082-1083-1073-1079</t>
  </si>
  <si>
    <t>ΡΙΡΗΣ</t>
  </si>
  <si>
    <t>ΑΗ980582</t>
  </si>
  <si>
    <t>1089-1082-1083-1088-1069-1071-1072-1085-1078-1073-1081-1079-1086-1091-1087-1074-1077</t>
  </si>
  <si>
    <t>ΣΑΜΟΙΛΗΣ</t>
  </si>
  <si>
    <t>ΑΕ297175</t>
  </si>
  <si>
    <t>896,1</t>
  </si>
  <si>
    <t>1073-1088-1078-1079-1085-1082-1091-1081-1069-1089-1086-1072-1083-1074-1075-1076-1077-1087</t>
  </si>
  <si>
    <t>ΚΩΝΣΤΑΝΤΟΠΟΥΛΟΣ</t>
  </si>
  <si>
    <t>ΑΒ387689</t>
  </si>
  <si>
    <t>893,3</t>
  </si>
  <si>
    <t>1069-1070-1086</t>
  </si>
  <si>
    <t>ΠΕΛΕΚΗ</t>
  </si>
  <si>
    <t>ΑΙ495829</t>
  </si>
  <si>
    <t>892,5</t>
  </si>
  <si>
    <t>1072-1071-1085-1086-1089-1088-1087-1078</t>
  </si>
  <si>
    <t>ΚΟΤΣΙΦΑΚΗ</t>
  </si>
  <si>
    <t>AN476007</t>
  </si>
  <si>
    <t>886,5</t>
  </si>
  <si>
    <t>1091-1090-1087-1076-1075-1074</t>
  </si>
  <si>
    <t>ΑΚ478670</t>
  </si>
  <si>
    <t>884,3</t>
  </si>
  <si>
    <t>1076-1075-1077-1074-1087-1078-1079-1069-1072-1085-1089-1086-1081-1073-1070-1090-1091-1092-1080-1071</t>
  </si>
  <si>
    <t>ΑΕ727016</t>
  </si>
  <si>
    <t>1078-1088-1091-1071-1072-1086-1074-1081-1073-1079-1085-1089-1069-1082-1083-1087-1075-1076-1077</t>
  </si>
  <si>
    <t>ΣΑΚΕΛΛΑΡΟΠΟΥΛΟΣ</t>
  </si>
  <si>
    <t>ΜΑΝΟΥΣΟΣ</t>
  </si>
  <si>
    <t>ΑΜ106830</t>
  </si>
  <si>
    <t>876,1</t>
  </si>
  <si>
    <t>ΜΑΝΤΕΚΑΣ</t>
  </si>
  <si>
    <t>Φ224201</t>
  </si>
  <si>
    <t>872,8</t>
  </si>
  <si>
    <t>ΚΑΡΑΤΣΩΡΗ</t>
  </si>
  <si>
    <t>Χ947395</t>
  </si>
  <si>
    <t>870,4</t>
  </si>
  <si>
    <t>1073-1078-1081-1069-1079-1087-1074-1075-1076-1072</t>
  </si>
  <si>
    <t>ΤΣΑΡΟΥΧΑ</t>
  </si>
  <si>
    <t>ΑΙ215485</t>
  </si>
  <si>
    <t>869,6</t>
  </si>
  <si>
    <t>1086-1085-1083-1078-1074-1075-1076-1077-1069-1073-1082-1089-1090-1091-1092-1087-1088-1071-1070-1072-1079-1081-1080</t>
  </si>
  <si>
    <t>ΓΚΑΝΤΡΗ</t>
  </si>
  <si>
    <t>ΣΤΑΜΟΥΛΑΚΗΣ</t>
  </si>
  <si>
    <t>ΑΖ266676</t>
  </si>
  <si>
    <t>865,6</t>
  </si>
  <si>
    <t>1084-1082-1083-1088-1069-1086-1087-1089-1085-1092-1074-1076-1075-1077-1072-1073-1071-1078-1079-1081</t>
  </si>
  <si>
    <t>ΤΣΙΝΤΙΚΗΣ</t>
  </si>
  <si>
    <t>ΑΒ879378</t>
  </si>
  <si>
    <t>861,6</t>
  </si>
  <si>
    <t>1073-1078-1082-1085-1079-1081-1074-1075-1076-1077-1087-1069-1072-1086-1089</t>
  </si>
  <si>
    <t>ΤΣΟΥΡΗΣ</t>
  </si>
  <si>
    <t>ΝΙΚΗΦΟΡΟΣ</t>
  </si>
  <si>
    <t>Φ344560</t>
  </si>
  <si>
    <t>852,7</t>
  </si>
  <si>
    <t>ΠΕΤΡΙΔΟΥ</t>
  </si>
  <si>
    <t>ΑΒ855573</t>
  </si>
  <si>
    <t>843,2</t>
  </si>
  <si>
    <t>1088-1069-1081-1082-1083</t>
  </si>
  <si>
    <t>ΚΑΤΣΙΛΙΕΡΗΣ</t>
  </si>
  <si>
    <t>ΑΒ766664</t>
  </si>
  <si>
    <t>838,9</t>
  </si>
  <si>
    <t>1086-1072-1078-1087-1091-1074-1075-1076-1077-1085-1071-1005-1089-1082-1083-1073-1069-1088-1081-1079-1084</t>
  </si>
  <si>
    <t>ΣΙΟΥΤΑ</t>
  </si>
  <si>
    <t>ΑΗ772454</t>
  </si>
  <si>
    <t>ΜΑΛΓΑΡΙΝΟΣ</t>
  </si>
  <si>
    <t>Τ039382</t>
  </si>
  <si>
    <t>1071-1072-1082-1089</t>
  </si>
  <si>
    <t>ΧΑΤΖΗΚΥΡΙΑΚΟΣ</t>
  </si>
  <si>
    <t>ΑΒ834446</t>
  </si>
  <si>
    <t>825,6</t>
  </si>
  <si>
    <t>ΑΚ132553</t>
  </si>
  <si>
    <t>825,5</t>
  </si>
  <si>
    <t>1078-1071-1072-1089-1085-1069-1086-1079-1073-1081-1074-1075-1076-1077-1087</t>
  </si>
  <si>
    <t>ΚΑΡΑΜΠΕΤΣΟΣ</t>
  </si>
  <si>
    <t>ΑΑ448434</t>
  </si>
  <si>
    <t>816,1</t>
  </si>
  <si>
    <t>ΣΤΕΦΑΝΙΑ</t>
  </si>
  <si>
    <t>ΑΒ103458</t>
  </si>
  <si>
    <t>815,4</t>
  </si>
  <si>
    <t>1087-1074-1075-1076-1077-1069</t>
  </si>
  <si>
    <t>ΚΑΡΑΔΗΜΗΤΡΙΟΥ</t>
  </si>
  <si>
    <t>ΑΕ384637</t>
  </si>
  <si>
    <t>813,4</t>
  </si>
  <si>
    <t>ΔΟΥΛΔΟΥΡΗΣ</t>
  </si>
  <si>
    <t>ΑΖ434551</t>
  </si>
  <si>
    <t>ΠΙΤΣΙΝΟΣ</t>
  </si>
  <si>
    <t>Χ819982</t>
  </si>
  <si>
    <t>1079-1069</t>
  </si>
  <si>
    <t>ΡΟΜΠΑΚΗΣ</t>
  </si>
  <si>
    <t>ΑΑ448992</t>
  </si>
  <si>
    <t>810,4</t>
  </si>
  <si>
    <t>ΓΕΩΡΓΑΛΑΣ</t>
  </si>
  <si>
    <t>Σ843838</t>
  </si>
  <si>
    <t>808,8</t>
  </si>
  <si>
    <t>1069-1072-1077-1078-1085-1083-1089</t>
  </si>
  <si>
    <t>ΜΑΡΑΒΕΛΑΚΗ</t>
  </si>
  <si>
    <t>ΧΡΥΣΗ</t>
  </si>
  <si>
    <t>ΑΑ371488</t>
  </si>
  <si>
    <t>807,7</t>
  </si>
  <si>
    <t>1077-1075-1076-1074-1087-1091</t>
  </si>
  <si>
    <t>ΜΑΝΤΖΟΥΚΑ</t>
  </si>
  <si>
    <t>ΛΟΥΚΙΑ</t>
  </si>
  <si>
    <t>Χ046637</t>
  </si>
  <si>
    <t>806,6</t>
  </si>
  <si>
    <t>1089-1085-1072-1069-1086-1079-1073-1078-1074-1075-1076-1077-1087-1081</t>
  </si>
  <si>
    <t>ΚΑΠΠΑΣ</t>
  </si>
  <si>
    <t>ΧΡΥΣΟΒΑΛΑΝΤΗΣ</t>
  </si>
  <si>
    <t>ΑΗ999858</t>
  </si>
  <si>
    <t>800,5</t>
  </si>
  <si>
    <t>1089-1085-1082-1069-1078-1086-1073-1079-1081-1075-1087-1077-1076-1074</t>
  </si>
  <si>
    <t>793,7</t>
  </si>
  <si>
    <t>ΠΕΡΡΑΚΗΣ</t>
  </si>
  <si>
    <t>ΠΑΡΑΣΚΕΥΑΣ-ΣΑΒΒΑΣ</t>
  </si>
  <si>
    <t>Χ989287</t>
  </si>
  <si>
    <t>792,7</t>
  </si>
  <si>
    <t>1071-1089-1072-1077-1082-1083-1085-1088-1069-1078-1079-1081-1073-1074-1075-1076-1086-1087-1091-1005-1006</t>
  </si>
  <si>
    <t>Χ977162</t>
  </si>
  <si>
    <t>791,5</t>
  </si>
  <si>
    <t>1069-1072-1073-1074-1075-1076-1077-1078</t>
  </si>
  <si>
    <t>ΧΑΙΡΕΤΗ</t>
  </si>
  <si>
    <t>Μαρία</t>
  </si>
  <si>
    <t>ΑΒ959914</t>
  </si>
  <si>
    <t>783,5</t>
  </si>
  <si>
    <t>ΠΑΡΧΑΡΙΔΗΣ</t>
  </si>
  <si>
    <t>Χ894941</t>
  </si>
  <si>
    <t>779,1</t>
  </si>
  <si>
    <t>1078-1073-1079-1081-1088-1085-1083-1082-1069-1072-1071-1086-1089-1091-1087</t>
  </si>
  <si>
    <t>ΦΕΛΕΚΙΔΗΣ</t>
  </si>
  <si>
    <t>ΑΕ765843</t>
  </si>
  <si>
    <t>773,6</t>
  </si>
  <si>
    <t>1079-1078-1073-1081-1085-1072-1089-1069</t>
  </si>
  <si>
    <t>ΓΕΩΡΓΕΔΑΚΗΣ</t>
  </si>
  <si>
    <t>ΑΗ408669</t>
  </si>
  <si>
    <t>772,5</t>
  </si>
  <si>
    <t>1076-1075-1074-1077-1087-1078-1079-1085-1081-1072-1073-1086-1089-1069</t>
  </si>
  <si>
    <t>ΑΘΑΝΑΣΙΑΔΗΣ</t>
  </si>
  <si>
    <t>ΑΒ772434</t>
  </si>
  <si>
    <t>769,5</t>
  </si>
  <si>
    <t>1085-1072-1078-1079-1086-1073</t>
  </si>
  <si>
    <t>ΓΟΥΝΙΩΤΗΣ</t>
  </si>
  <si>
    <t>ΑΖ160555</t>
  </si>
  <si>
    <t>757,1</t>
  </si>
  <si>
    <t>1078-1074-1075-1076-1077-1087-1090-1069-1070-1072-1073-1079-1081-1082-1085-1086-1089</t>
  </si>
  <si>
    <t>ΣΠΑΧΗΣ</t>
  </si>
  <si>
    <t>ANΔΡΕΑΣ</t>
  </si>
  <si>
    <t>ΑΚ024439</t>
  </si>
  <si>
    <t>ΣΚΟΠΛΑΚΗ</t>
  </si>
  <si>
    <t>ΑΜ101498</t>
  </si>
  <si>
    <t>739,7</t>
  </si>
  <si>
    <t>1069-1070-1071-1072-1074-1075-1076-1077-1084-1087-1088-1089-1090-1091</t>
  </si>
  <si>
    <t>733,6</t>
  </si>
  <si>
    <t>ΤΖΟΜΠΡΑΣ</t>
  </si>
  <si>
    <t>ΑΕ846725</t>
  </si>
  <si>
    <t>614,9</t>
  </si>
  <si>
    <t>684,9</t>
  </si>
  <si>
    <t>1069-1073-1074-1075-1076-1077-1078-1081-1082-1083-1087-1088-1090-1091-1092-1024-1021-1004</t>
  </si>
  <si>
    <t>Φ437495</t>
  </si>
  <si>
    <t>672,7</t>
  </si>
  <si>
    <t>ΠΡΩΙΜΟΥ</t>
  </si>
  <si>
    <t>ΘΕΟΔΩΡΑ-ΑΝΑΣΤΑΣΙΑ</t>
  </si>
  <si>
    <t>Χ578874</t>
  </si>
  <si>
    <t>1070-1078-1085-1086-1079-1075-1076-1077-1074-1082-1087-1089-1069-1073-1072-1071-1081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</si>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</sst>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7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5122</v>
      </c>
      <c r="C8" t="s">
        <v>13</v>
      </c>
      <c r="D8" t="s">
        <v>14</v>
      </c>
      <c r="E8" t="s">
        <v>15</v>
      </c>
      <c r="F8" t="s">
        <v>16</v>
      </c>
      <c r="G8" t="str">
        <f>"00363426"</f>
        <v>00363426</v>
      </c>
      <c r="H8" t="s">
        <v>17</v>
      </c>
      <c r="I8">
        <v>0</v>
      </c>
      <c r="J8">
        <v>400</v>
      </c>
      <c r="K8">
        <v>0</v>
      </c>
      <c r="L8">
        <v>260</v>
      </c>
      <c r="M8">
        <v>0</v>
      </c>
      <c r="N8">
        <v>70</v>
      </c>
      <c r="O8">
        <v>70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873</v>
      </c>
      <c r="C10" t="s">
        <v>20</v>
      </c>
      <c r="D10" t="s">
        <v>21</v>
      </c>
      <c r="E10" t="s">
        <v>22</v>
      </c>
      <c r="F10" t="s">
        <v>23</v>
      </c>
      <c r="G10" t="str">
        <f>"200801002355"</f>
        <v>200801002355</v>
      </c>
      <c r="H10" t="s">
        <v>24</v>
      </c>
      <c r="I10">
        <v>0</v>
      </c>
      <c r="J10">
        <v>400</v>
      </c>
      <c r="K10">
        <v>0</v>
      </c>
      <c r="L10">
        <v>260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1570</v>
      </c>
      <c r="C12" t="s">
        <v>27</v>
      </c>
      <c r="D12" t="s">
        <v>14</v>
      </c>
      <c r="E12" t="s">
        <v>28</v>
      </c>
      <c r="F12" t="s">
        <v>29</v>
      </c>
      <c r="G12" t="str">
        <f>"00189381"</f>
        <v>00189381</v>
      </c>
      <c r="H12" t="s">
        <v>30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70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31</v>
      </c>
    </row>
    <row r="13" spans="1:30" x14ac:dyDescent="0.25">
      <c r="H13" t="s">
        <v>32</v>
      </c>
    </row>
    <row r="14" spans="1:30" x14ac:dyDescent="0.25">
      <c r="A14">
        <v>4</v>
      </c>
      <c r="B14">
        <v>3322</v>
      </c>
      <c r="C14" t="s">
        <v>33</v>
      </c>
      <c r="D14" t="s">
        <v>34</v>
      </c>
      <c r="E14" t="s">
        <v>35</v>
      </c>
      <c r="F14" t="s">
        <v>36</v>
      </c>
      <c r="G14" t="str">
        <f>"00215423"</f>
        <v>00215423</v>
      </c>
      <c r="H14" t="s">
        <v>37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0</v>
      </c>
      <c r="P14">
        <v>30</v>
      </c>
      <c r="Q14">
        <v>0</v>
      </c>
      <c r="R14">
        <v>0</v>
      </c>
      <c r="S14">
        <v>0</v>
      </c>
      <c r="T14">
        <v>0</v>
      </c>
      <c r="U14">
        <v>0</v>
      </c>
      <c r="V14">
        <v>41</v>
      </c>
      <c r="W14">
        <v>287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38</v>
      </c>
    </row>
    <row r="15" spans="1:30" x14ac:dyDescent="0.25">
      <c r="H15" t="s">
        <v>39</v>
      </c>
    </row>
    <row r="16" spans="1:30" x14ac:dyDescent="0.25">
      <c r="A16">
        <v>5</v>
      </c>
      <c r="B16">
        <v>1418</v>
      </c>
      <c r="C16" t="s">
        <v>40</v>
      </c>
      <c r="D16" t="s">
        <v>41</v>
      </c>
      <c r="E16" t="s">
        <v>42</v>
      </c>
      <c r="F16" t="s">
        <v>43</v>
      </c>
      <c r="G16" t="str">
        <f>"00184859"</f>
        <v>00184859</v>
      </c>
      <c r="H16" t="s">
        <v>44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45</v>
      </c>
    </row>
    <row r="17" spans="1:30" x14ac:dyDescent="0.25">
      <c r="H17" t="s">
        <v>46</v>
      </c>
    </row>
    <row r="18" spans="1:30" x14ac:dyDescent="0.25">
      <c r="A18">
        <v>6</v>
      </c>
      <c r="B18">
        <v>4496</v>
      </c>
      <c r="C18" t="s">
        <v>47</v>
      </c>
      <c r="D18" t="s">
        <v>48</v>
      </c>
      <c r="E18" t="s">
        <v>49</v>
      </c>
      <c r="F18" t="s">
        <v>50</v>
      </c>
      <c r="G18" t="str">
        <f>"00017619"</f>
        <v>00017619</v>
      </c>
      <c r="H18">
        <v>847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>
        <v>2375</v>
      </c>
    </row>
    <row r="19" spans="1:30" x14ac:dyDescent="0.25">
      <c r="H19" t="s">
        <v>46</v>
      </c>
    </row>
    <row r="20" spans="1:30" x14ac:dyDescent="0.25">
      <c r="A20">
        <v>7</v>
      </c>
      <c r="B20">
        <v>965</v>
      </c>
      <c r="C20" t="s">
        <v>51</v>
      </c>
      <c r="D20" t="s">
        <v>14</v>
      </c>
      <c r="E20" t="s">
        <v>52</v>
      </c>
      <c r="F20" t="s">
        <v>53</v>
      </c>
      <c r="G20" t="str">
        <f>"200905000335"</f>
        <v>200905000335</v>
      </c>
      <c r="H20" t="s">
        <v>54</v>
      </c>
      <c r="I20">
        <v>0</v>
      </c>
      <c r="J20">
        <v>400</v>
      </c>
      <c r="K20">
        <v>0</v>
      </c>
      <c r="L20">
        <v>260</v>
      </c>
      <c r="M20">
        <v>0</v>
      </c>
      <c r="N20">
        <v>70</v>
      </c>
      <c r="O20">
        <v>30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1</v>
      </c>
      <c r="AA20">
        <v>0</v>
      </c>
      <c r="AB20">
        <v>24</v>
      </c>
      <c r="AC20">
        <v>408</v>
      </c>
      <c r="AD20" t="s">
        <v>55</v>
      </c>
    </row>
    <row r="21" spans="1:30" x14ac:dyDescent="0.25">
      <c r="H21" t="s">
        <v>56</v>
      </c>
    </row>
    <row r="22" spans="1:30" x14ac:dyDescent="0.25">
      <c r="A22">
        <v>8</v>
      </c>
      <c r="B22">
        <v>3176</v>
      </c>
      <c r="C22" t="s">
        <v>57</v>
      </c>
      <c r="D22" t="s">
        <v>58</v>
      </c>
      <c r="E22" t="s">
        <v>59</v>
      </c>
      <c r="F22" t="s">
        <v>60</v>
      </c>
      <c r="G22" t="str">
        <f>"00015600"</f>
        <v>00015600</v>
      </c>
      <c r="H22" t="s">
        <v>61</v>
      </c>
      <c r="I22">
        <v>0</v>
      </c>
      <c r="J22">
        <v>400</v>
      </c>
      <c r="K22">
        <v>0</v>
      </c>
      <c r="L22">
        <v>200</v>
      </c>
      <c r="M22">
        <v>0</v>
      </c>
      <c r="N22">
        <v>70</v>
      </c>
      <c r="O22">
        <v>30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62</v>
      </c>
    </row>
    <row r="23" spans="1:30" x14ac:dyDescent="0.25">
      <c r="H23" t="s">
        <v>63</v>
      </c>
    </row>
    <row r="24" spans="1:30" x14ac:dyDescent="0.25">
      <c r="A24">
        <v>9</v>
      </c>
      <c r="B24">
        <v>4399</v>
      </c>
      <c r="C24" t="s">
        <v>64</v>
      </c>
      <c r="D24" t="s">
        <v>65</v>
      </c>
      <c r="E24" t="s">
        <v>66</v>
      </c>
      <c r="F24" t="s">
        <v>67</v>
      </c>
      <c r="G24" t="str">
        <f>"200802001387"</f>
        <v>200802001387</v>
      </c>
      <c r="H24" t="s">
        <v>68</v>
      </c>
      <c r="I24">
        <v>0</v>
      </c>
      <c r="J24">
        <v>400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69</v>
      </c>
    </row>
    <row r="25" spans="1:30" x14ac:dyDescent="0.25">
      <c r="H25" t="s">
        <v>70</v>
      </c>
    </row>
    <row r="26" spans="1:30" x14ac:dyDescent="0.25">
      <c r="A26">
        <v>10</v>
      </c>
      <c r="B26">
        <v>5077</v>
      </c>
      <c r="C26" t="s">
        <v>71</v>
      </c>
      <c r="D26" t="s">
        <v>42</v>
      </c>
      <c r="E26" t="s">
        <v>72</v>
      </c>
      <c r="F26" t="s">
        <v>73</v>
      </c>
      <c r="G26" t="str">
        <f>"00369198"</f>
        <v>00369198</v>
      </c>
      <c r="H26" t="s">
        <v>74</v>
      </c>
      <c r="I26">
        <v>0</v>
      </c>
      <c r="J26">
        <v>400</v>
      </c>
      <c r="K26">
        <v>0</v>
      </c>
      <c r="L26">
        <v>200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75</v>
      </c>
    </row>
    <row r="27" spans="1:30" x14ac:dyDescent="0.25">
      <c r="H27">
        <v>1070</v>
      </c>
    </row>
    <row r="28" spans="1:30" x14ac:dyDescent="0.25">
      <c r="A28">
        <v>11</v>
      </c>
      <c r="B28">
        <v>201</v>
      </c>
      <c r="C28" t="s">
        <v>76</v>
      </c>
      <c r="D28" t="s">
        <v>28</v>
      </c>
      <c r="E28" t="s">
        <v>77</v>
      </c>
      <c r="F28" t="s">
        <v>78</v>
      </c>
      <c r="G28" t="str">
        <f>"200801006470"</f>
        <v>200801006470</v>
      </c>
      <c r="H28" t="s">
        <v>79</v>
      </c>
      <c r="I28">
        <v>0</v>
      </c>
      <c r="J28">
        <v>400</v>
      </c>
      <c r="K28">
        <v>0</v>
      </c>
      <c r="L28">
        <v>260</v>
      </c>
      <c r="M28">
        <v>0</v>
      </c>
      <c r="N28">
        <v>70</v>
      </c>
      <c r="O28">
        <v>0</v>
      </c>
      <c r="P28">
        <v>70</v>
      </c>
      <c r="Q28">
        <v>0</v>
      </c>
      <c r="R28">
        <v>30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80</v>
      </c>
    </row>
    <row r="29" spans="1:30" x14ac:dyDescent="0.25">
      <c r="H29">
        <v>1078</v>
      </c>
    </row>
    <row r="30" spans="1:30" x14ac:dyDescent="0.25">
      <c r="A30">
        <v>12</v>
      </c>
      <c r="B30">
        <v>3197</v>
      </c>
      <c r="C30" t="s">
        <v>81</v>
      </c>
      <c r="D30" t="s">
        <v>82</v>
      </c>
      <c r="E30" t="s">
        <v>83</v>
      </c>
      <c r="F30" t="s">
        <v>84</v>
      </c>
      <c r="G30" t="str">
        <f>"200802000488"</f>
        <v>200802000488</v>
      </c>
      <c r="H30" t="s">
        <v>85</v>
      </c>
      <c r="I30">
        <v>0</v>
      </c>
      <c r="J30">
        <v>400</v>
      </c>
      <c r="K30">
        <v>0</v>
      </c>
      <c r="L30">
        <v>200</v>
      </c>
      <c r="M30">
        <v>0</v>
      </c>
      <c r="N30">
        <v>70</v>
      </c>
      <c r="O30">
        <v>50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86</v>
      </c>
    </row>
    <row r="31" spans="1:30" x14ac:dyDescent="0.25">
      <c r="H31" t="s">
        <v>87</v>
      </c>
    </row>
    <row r="32" spans="1:30" x14ac:dyDescent="0.25">
      <c r="A32">
        <v>13</v>
      </c>
      <c r="B32">
        <v>4697</v>
      </c>
      <c r="C32" t="s">
        <v>88</v>
      </c>
      <c r="D32" t="s">
        <v>89</v>
      </c>
      <c r="E32" t="s">
        <v>90</v>
      </c>
      <c r="F32" t="s">
        <v>91</v>
      </c>
      <c r="G32" t="str">
        <f>"00020387"</f>
        <v>00020387</v>
      </c>
      <c r="H32" t="s">
        <v>92</v>
      </c>
      <c r="I32">
        <v>0</v>
      </c>
      <c r="J32">
        <v>400</v>
      </c>
      <c r="K32">
        <v>0</v>
      </c>
      <c r="L32">
        <v>200</v>
      </c>
      <c r="M32">
        <v>0</v>
      </c>
      <c r="N32">
        <v>70</v>
      </c>
      <c r="O32">
        <v>50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93</v>
      </c>
    </row>
    <row r="33" spans="1:30" x14ac:dyDescent="0.25">
      <c r="H33" t="s">
        <v>94</v>
      </c>
    </row>
    <row r="34" spans="1:30" x14ac:dyDescent="0.25">
      <c r="A34">
        <v>14</v>
      </c>
      <c r="B34">
        <v>768</v>
      </c>
      <c r="C34" t="s">
        <v>95</v>
      </c>
      <c r="D34" t="s">
        <v>96</v>
      </c>
      <c r="E34" t="s">
        <v>66</v>
      </c>
      <c r="F34" t="s">
        <v>97</v>
      </c>
      <c r="G34" t="str">
        <f>"201405001571"</f>
        <v>201405001571</v>
      </c>
      <c r="H34" t="s">
        <v>98</v>
      </c>
      <c r="I34">
        <v>0</v>
      </c>
      <c r="J34">
        <v>400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50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99</v>
      </c>
    </row>
    <row r="35" spans="1:30" x14ac:dyDescent="0.25">
      <c r="H35" t="s">
        <v>100</v>
      </c>
    </row>
    <row r="36" spans="1:30" x14ac:dyDescent="0.25">
      <c r="A36">
        <v>15</v>
      </c>
      <c r="B36">
        <v>4416</v>
      </c>
      <c r="C36" t="s">
        <v>101</v>
      </c>
      <c r="D36" t="s">
        <v>102</v>
      </c>
      <c r="E36" t="s">
        <v>103</v>
      </c>
      <c r="F36" t="s">
        <v>104</v>
      </c>
      <c r="G36" t="str">
        <f>"00360104"</f>
        <v>00360104</v>
      </c>
      <c r="H36">
        <v>968</v>
      </c>
      <c r="I36">
        <v>0</v>
      </c>
      <c r="J36">
        <v>400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>
        <v>2186</v>
      </c>
    </row>
    <row r="37" spans="1:30" x14ac:dyDescent="0.25">
      <c r="H37" t="s">
        <v>105</v>
      </c>
    </row>
    <row r="38" spans="1:30" x14ac:dyDescent="0.25">
      <c r="A38">
        <v>16</v>
      </c>
      <c r="B38">
        <v>5009</v>
      </c>
      <c r="C38" t="s">
        <v>106</v>
      </c>
      <c r="D38" t="s">
        <v>107</v>
      </c>
      <c r="E38" t="s">
        <v>108</v>
      </c>
      <c r="F38" t="s">
        <v>109</v>
      </c>
      <c r="G38" t="str">
        <f>"200801005009"</f>
        <v>200801005009</v>
      </c>
      <c r="H38" t="s">
        <v>110</v>
      </c>
      <c r="I38">
        <v>0</v>
      </c>
      <c r="J38">
        <v>400</v>
      </c>
      <c r="K38">
        <v>0</v>
      </c>
      <c r="L38">
        <v>260</v>
      </c>
      <c r="M38">
        <v>0</v>
      </c>
      <c r="N38">
        <v>70</v>
      </c>
      <c r="O38">
        <v>0</v>
      </c>
      <c r="P38">
        <v>0</v>
      </c>
      <c r="Q38">
        <v>0</v>
      </c>
      <c r="R38">
        <v>30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111</v>
      </c>
    </row>
    <row r="39" spans="1:30" x14ac:dyDescent="0.25">
      <c r="H39">
        <v>1078</v>
      </c>
    </row>
    <row r="40" spans="1:30" x14ac:dyDescent="0.25">
      <c r="A40">
        <v>17</v>
      </c>
      <c r="B40">
        <v>873</v>
      </c>
      <c r="C40" t="s">
        <v>20</v>
      </c>
      <c r="D40" t="s">
        <v>21</v>
      </c>
      <c r="E40" t="s">
        <v>22</v>
      </c>
      <c r="F40" t="s">
        <v>23</v>
      </c>
      <c r="G40" t="str">
        <f>"200801002355"</f>
        <v>200801002355</v>
      </c>
      <c r="H40" t="s">
        <v>24</v>
      </c>
      <c r="I40">
        <v>0</v>
      </c>
      <c r="J40">
        <v>400</v>
      </c>
      <c r="K40">
        <v>0</v>
      </c>
      <c r="L40">
        <v>260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112</v>
      </c>
    </row>
    <row r="41" spans="1:30" x14ac:dyDescent="0.25">
      <c r="H41" t="s">
        <v>26</v>
      </c>
    </row>
    <row r="42" spans="1:30" x14ac:dyDescent="0.25">
      <c r="A42">
        <v>18</v>
      </c>
      <c r="B42">
        <v>1825</v>
      </c>
      <c r="C42" t="s">
        <v>113</v>
      </c>
      <c r="D42" t="s">
        <v>59</v>
      </c>
      <c r="E42" t="s">
        <v>35</v>
      </c>
      <c r="F42" t="s">
        <v>114</v>
      </c>
      <c r="G42" t="str">
        <f>"201402010255"</f>
        <v>201402010255</v>
      </c>
      <c r="H42" t="s">
        <v>115</v>
      </c>
      <c r="I42">
        <v>0</v>
      </c>
      <c r="J42">
        <v>400</v>
      </c>
      <c r="K42">
        <v>0</v>
      </c>
      <c r="L42">
        <v>260</v>
      </c>
      <c r="M42">
        <v>0</v>
      </c>
      <c r="N42">
        <v>70</v>
      </c>
      <c r="O42">
        <v>0</v>
      </c>
      <c r="P42">
        <v>0</v>
      </c>
      <c r="Q42">
        <v>0</v>
      </c>
      <c r="R42">
        <v>30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116</v>
      </c>
    </row>
    <row r="43" spans="1:30" x14ac:dyDescent="0.25">
      <c r="H43" t="s">
        <v>117</v>
      </c>
    </row>
    <row r="44" spans="1:30" x14ac:dyDescent="0.25">
      <c r="A44">
        <v>19</v>
      </c>
      <c r="B44">
        <v>2020</v>
      </c>
      <c r="C44" t="s">
        <v>118</v>
      </c>
      <c r="D44" t="s">
        <v>28</v>
      </c>
      <c r="E44" t="s">
        <v>119</v>
      </c>
      <c r="F44" t="s">
        <v>120</v>
      </c>
      <c r="G44" t="str">
        <f>"201411000770"</f>
        <v>201411000770</v>
      </c>
      <c r="H44" t="s">
        <v>121</v>
      </c>
      <c r="I44">
        <v>0</v>
      </c>
      <c r="J44">
        <v>400</v>
      </c>
      <c r="K44">
        <v>0</v>
      </c>
      <c r="L44">
        <v>200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122</v>
      </c>
    </row>
    <row r="45" spans="1:30" x14ac:dyDescent="0.25">
      <c r="H45" t="s">
        <v>123</v>
      </c>
    </row>
    <row r="46" spans="1:30" x14ac:dyDescent="0.25">
      <c r="A46">
        <v>20</v>
      </c>
      <c r="B46">
        <v>477</v>
      </c>
      <c r="C46" t="s">
        <v>124</v>
      </c>
      <c r="D46" t="s">
        <v>125</v>
      </c>
      <c r="E46" t="s">
        <v>59</v>
      </c>
      <c r="F46" t="s">
        <v>126</v>
      </c>
      <c r="G46" t="str">
        <f>"201401001418"</f>
        <v>201401001418</v>
      </c>
      <c r="H46" t="s">
        <v>121</v>
      </c>
      <c r="I46">
        <v>0</v>
      </c>
      <c r="J46">
        <v>400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122</v>
      </c>
    </row>
    <row r="47" spans="1:30" x14ac:dyDescent="0.25">
      <c r="H47" t="s">
        <v>127</v>
      </c>
    </row>
    <row r="48" spans="1:30" x14ac:dyDescent="0.25">
      <c r="A48">
        <v>21</v>
      </c>
      <c r="B48">
        <v>568</v>
      </c>
      <c r="C48" t="s">
        <v>128</v>
      </c>
      <c r="D48" t="s">
        <v>129</v>
      </c>
      <c r="E48" t="s">
        <v>77</v>
      </c>
      <c r="F48" t="s">
        <v>130</v>
      </c>
      <c r="G48" t="str">
        <f>"201412001595"</f>
        <v>201412001595</v>
      </c>
      <c r="H48" t="s">
        <v>131</v>
      </c>
      <c r="I48">
        <v>0</v>
      </c>
      <c r="J48">
        <v>400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132</v>
      </c>
    </row>
    <row r="49" spans="1:30" x14ac:dyDescent="0.25">
      <c r="H49" t="s">
        <v>133</v>
      </c>
    </row>
    <row r="50" spans="1:30" x14ac:dyDescent="0.25">
      <c r="A50">
        <v>22</v>
      </c>
      <c r="B50">
        <v>589</v>
      </c>
      <c r="C50" t="s">
        <v>134</v>
      </c>
      <c r="D50" t="s">
        <v>135</v>
      </c>
      <c r="E50" t="s">
        <v>136</v>
      </c>
      <c r="F50" t="s">
        <v>137</v>
      </c>
      <c r="G50" t="str">
        <f>"201412005575"</f>
        <v>201412005575</v>
      </c>
      <c r="H50" t="s">
        <v>138</v>
      </c>
      <c r="I50">
        <v>0</v>
      </c>
      <c r="J50">
        <v>400</v>
      </c>
      <c r="K50">
        <v>0</v>
      </c>
      <c r="L50">
        <v>260</v>
      </c>
      <c r="M50">
        <v>0</v>
      </c>
      <c r="N50">
        <v>70</v>
      </c>
      <c r="O50">
        <v>30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139</v>
      </c>
    </row>
    <row r="51" spans="1:30" x14ac:dyDescent="0.25">
      <c r="H51" t="s">
        <v>140</v>
      </c>
    </row>
    <row r="52" spans="1:30" x14ac:dyDescent="0.25">
      <c r="A52">
        <v>23</v>
      </c>
      <c r="B52">
        <v>196</v>
      </c>
      <c r="C52" t="s">
        <v>141</v>
      </c>
      <c r="D52" t="s">
        <v>142</v>
      </c>
      <c r="E52" t="s">
        <v>77</v>
      </c>
      <c r="F52" t="s">
        <v>143</v>
      </c>
      <c r="G52" t="str">
        <f>"00294008"</f>
        <v>00294008</v>
      </c>
      <c r="H52" t="s">
        <v>144</v>
      </c>
      <c r="I52">
        <v>0</v>
      </c>
      <c r="J52">
        <v>400</v>
      </c>
      <c r="K52">
        <v>0</v>
      </c>
      <c r="L52">
        <v>200</v>
      </c>
      <c r="M52">
        <v>0</v>
      </c>
      <c r="N52">
        <v>50</v>
      </c>
      <c r="O52">
        <v>30</v>
      </c>
      <c r="P52">
        <v>0</v>
      </c>
      <c r="Q52">
        <v>0</v>
      </c>
      <c r="R52">
        <v>30</v>
      </c>
      <c r="S52">
        <v>0</v>
      </c>
      <c r="T52">
        <v>0</v>
      </c>
      <c r="U52">
        <v>0</v>
      </c>
      <c r="V52">
        <v>80</v>
      </c>
      <c r="W52">
        <v>560</v>
      </c>
      <c r="X52">
        <v>0</v>
      </c>
      <c r="Z52">
        <v>0</v>
      </c>
      <c r="AA52">
        <v>0</v>
      </c>
      <c r="AB52">
        <v>4</v>
      </c>
      <c r="AC52">
        <v>68</v>
      </c>
      <c r="AD52" t="s">
        <v>145</v>
      </c>
    </row>
    <row r="53" spans="1:30" x14ac:dyDescent="0.25">
      <c r="H53">
        <v>1079</v>
      </c>
    </row>
    <row r="54" spans="1:30" x14ac:dyDescent="0.25">
      <c r="A54">
        <v>24</v>
      </c>
      <c r="B54">
        <v>888</v>
      </c>
      <c r="C54" t="s">
        <v>146</v>
      </c>
      <c r="D54" t="s">
        <v>147</v>
      </c>
      <c r="E54" t="s">
        <v>148</v>
      </c>
      <c r="F54" t="s">
        <v>149</v>
      </c>
      <c r="G54" t="str">
        <f>"00147200"</f>
        <v>00147200</v>
      </c>
      <c r="H54">
        <v>814</v>
      </c>
      <c r="I54">
        <v>0</v>
      </c>
      <c r="J54">
        <v>400</v>
      </c>
      <c r="K54">
        <v>0</v>
      </c>
      <c r="L54">
        <v>200</v>
      </c>
      <c r="M54">
        <v>0</v>
      </c>
      <c r="N54">
        <v>70</v>
      </c>
      <c r="O54">
        <v>0</v>
      </c>
      <c r="P54">
        <v>30</v>
      </c>
      <c r="Q54">
        <v>30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>
        <v>2132</v>
      </c>
    </row>
    <row r="55" spans="1:30" x14ac:dyDescent="0.25">
      <c r="H55" t="s">
        <v>150</v>
      </c>
    </row>
    <row r="56" spans="1:30" x14ac:dyDescent="0.25">
      <c r="A56">
        <v>25</v>
      </c>
      <c r="B56">
        <v>2094</v>
      </c>
      <c r="C56" t="s">
        <v>151</v>
      </c>
      <c r="D56" t="s">
        <v>152</v>
      </c>
      <c r="E56" t="s">
        <v>28</v>
      </c>
      <c r="F56" t="s">
        <v>153</v>
      </c>
      <c r="G56" t="str">
        <f>"201410011744"</f>
        <v>201410011744</v>
      </c>
      <c r="H56" t="s">
        <v>154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70</v>
      </c>
      <c r="Q56">
        <v>0</v>
      </c>
      <c r="R56">
        <v>70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155</v>
      </c>
    </row>
    <row r="57" spans="1:30" x14ac:dyDescent="0.25">
      <c r="H57">
        <v>1078</v>
      </c>
    </row>
    <row r="58" spans="1:30" x14ac:dyDescent="0.25">
      <c r="A58">
        <v>26</v>
      </c>
      <c r="B58">
        <v>1614</v>
      </c>
      <c r="C58" t="s">
        <v>156</v>
      </c>
      <c r="D58" t="s">
        <v>157</v>
      </c>
      <c r="E58" t="s">
        <v>158</v>
      </c>
      <c r="F58" t="s">
        <v>159</v>
      </c>
      <c r="G58" t="str">
        <f>"201504003128"</f>
        <v>201504003128</v>
      </c>
      <c r="H58" t="s">
        <v>160</v>
      </c>
      <c r="I58">
        <v>0</v>
      </c>
      <c r="J58">
        <v>400</v>
      </c>
      <c r="K58">
        <v>0</v>
      </c>
      <c r="L58">
        <v>200</v>
      </c>
      <c r="M58">
        <v>30</v>
      </c>
      <c r="N58">
        <v>50</v>
      </c>
      <c r="O58">
        <v>30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161</v>
      </c>
    </row>
    <row r="59" spans="1:30" x14ac:dyDescent="0.25">
      <c r="H59" t="s">
        <v>162</v>
      </c>
    </row>
    <row r="60" spans="1:30" x14ac:dyDescent="0.25">
      <c r="A60">
        <v>27</v>
      </c>
      <c r="B60">
        <v>537</v>
      </c>
      <c r="C60" t="s">
        <v>163</v>
      </c>
      <c r="D60" t="s">
        <v>164</v>
      </c>
      <c r="E60" t="s">
        <v>108</v>
      </c>
      <c r="F60" t="s">
        <v>165</v>
      </c>
      <c r="G60" t="str">
        <f>"200801011302"</f>
        <v>200801011302</v>
      </c>
      <c r="H60" t="s">
        <v>166</v>
      </c>
      <c r="I60">
        <v>0</v>
      </c>
      <c r="J60">
        <v>400</v>
      </c>
      <c r="K60">
        <v>0</v>
      </c>
      <c r="L60">
        <v>200</v>
      </c>
      <c r="M60">
        <v>0</v>
      </c>
      <c r="N60">
        <v>70</v>
      </c>
      <c r="O60">
        <v>30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167</v>
      </c>
    </row>
    <row r="61" spans="1:30" x14ac:dyDescent="0.25">
      <c r="H61" t="s">
        <v>168</v>
      </c>
    </row>
    <row r="62" spans="1:30" x14ac:dyDescent="0.25">
      <c r="A62">
        <v>28</v>
      </c>
      <c r="B62">
        <v>2303</v>
      </c>
      <c r="C62" t="s">
        <v>169</v>
      </c>
      <c r="D62" t="s">
        <v>170</v>
      </c>
      <c r="E62" t="s">
        <v>66</v>
      </c>
      <c r="F62" t="s">
        <v>171</v>
      </c>
      <c r="G62" t="str">
        <f>"00330571"</f>
        <v>00330571</v>
      </c>
      <c r="H62" t="s">
        <v>166</v>
      </c>
      <c r="I62">
        <v>0</v>
      </c>
      <c r="J62">
        <v>400</v>
      </c>
      <c r="K62">
        <v>0</v>
      </c>
      <c r="L62">
        <v>200</v>
      </c>
      <c r="M62">
        <v>0</v>
      </c>
      <c r="N62">
        <v>70</v>
      </c>
      <c r="O62">
        <v>30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167</v>
      </c>
    </row>
    <row r="63" spans="1:30" x14ac:dyDescent="0.25">
      <c r="H63" t="s">
        <v>172</v>
      </c>
    </row>
    <row r="64" spans="1:30" x14ac:dyDescent="0.25">
      <c r="A64">
        <v>29</v>
      </c>
      <c r="B64">
        <v>4609</v>
      </c>
      <c r="C64" t="s">
        <v>173</v>
      </c>
      <c r="D64" t="s">
        <v>174</v>
      </c>
      <c r="E64" t="s">
        <v>28</v>
      </c>
      <c r="F64" t="s">
        <v>175</v>
      </c>
      <c r="G64" t="str">
        <f>"200801004190"</f>
        <v>200801004190</v>
      </c>
      <c r="H64" t="s">
        <v>176</v>
      </c>
      <c r="I64">
        <v>0</v>
      </c>
      <c r="J64">
        <v>400</v>
      </c>
      <c r="K64">
        <v>0</v>
      </c>
      <c r="L64">
        <v>260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177</v>
      </c>
    </row>
    <row r="65" spans="1:30" x14ac:dyDescent="0.25">
      <c r="H65" t="s">
        <v>178</v>
      </c>
    </row>
    <row r="66" spans="1:30" x14ac:dyDescent="0.25">
      <c r="A66">
        <v>30</v>
      </c>
      <c r="B66">
        <v>4714</v>
      </c>
      <c r="C66" t="s">
        <v>179</v>
      </c>
      <c r="D66" t="s">
        <v>59</v>
      </c>
      <c r="E66" t="s">
        <v>42</v>
      </c>
      <c r="F66" t="s">
        <v>180</v>
      </c>
      <c r="G66" t="str">
        <f>"00327545"</f>
        <v>00327545</v>
      </c>
      <c r="H66">
        <v>880</v>
      </c>
      <c r="I66">
        <v>150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62</v>
      </c>
      <c r="W66">
        <v>434</v>
      </c>
      <c r="X66">
        <v>0</v>
      </c>
      <c r="Z66">
        <v>0</v>
      </c>
      <c r="AA66">
        <v>0</v>
      </c>
      <c r="AB66">
        <v>22</v>
      </c>
      <c r="AC66">
        <v>374</v>
      </c>
      <c r="AD66">
        <v>2108</v>
      </c>
    </row>
    <row r="67" spans="1:30" x14ac:dyDescent="0.25">
      <c r="H67">
        <v>1085</v>
      </c>
    </row>
    <row r="68" spans="1:30" x14ac:dyDescent="0.25">
      <c r="A68">
        <v>31</v>
      </c>
      <c r="B68">
        <v>1946</v>
      </c>
      <c r="C68" t="s">
        <v>181</v>
      </c>
      <c r="D68" t="s">
        <v>182</v>
      </c>
      <c r="E68" t="s">
        <v>77</v>
      </c>
      <c r="F68" t="s">
        <v>183</v>
      </c>
      <c r="G68" t="str">
        <f>"201402007818"</f>
        <v>201402007818</v>
      </c>
      <c r="H68" t="s">
        <v>184</v>
      </c>
      <c r="I68">
        <v>0</v>
      </c>
      <c r="J68">
        <v>400</v>
      </c>
      <c r="K68">
        <v>0</v>
      </c>
      <c r="L68">
        <v>200</v>
      </c>
      <c r="M68">
        <v>0</v>
      </c>
      <c r="N68">
        <v>70</v>
      </c>
      <c r="O68">
        <v>50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185</v>
      </c>
    </row>
    <row r="69" spans="1:30" x14ac:dyDescent="0.25">
      <c r="H69" t="s">
        <v>186</v>
      </c>
    </row>
    <row r="70" spans="1:30" x14ac:dyDescent="0.25">
      <c r="A70">
        <v>32</v>
      </c>
      <c r="B70">
        <v>1298</v>
      </c>
      <c r="C70" t="s">
        <v>187</v>
      </c>
      <c r="D70" t="s">
        <v>77</v>
      </c>
      <c r="E70" t="s">
        <v>188</v>
      </c>
      <c r="F70" t="s">
        <v>189</v>
      </c>
      <c r="G70" t="str">
        <f>"00256999"</f>
        <v>00256999</v>
      </c>
      <c r="H70" t="s">
        <v>190</v>
      </c>
      <c r="I70">
        <v>0</v>
      </c>
      <c r="J70">
        <v>400</v>
      </c>
      <c r="K70">
        <v>0</v>
      </c>
      <c r="L70">
        <v>200</v>
      </c>
      <c r="M70">
        <v>0</v>
      </c>
      <c r="N70">
        <v>50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191</v>
      </c>
    </row>
    <row r="71" spans="1:30" x14ac:dyDescent="0.25">
      <c r="H71">
        <v>1078</v>
      </c>
    </row>
    <row r="72" spans="1:30" x14ac:dyDescent="0.25">
      <c r="A72">
        <v>33</v>
      </c>
      <c r="B72">
        <v>2458</v>
      </c>
      <c r="C72" t="s">
        <v>192</v>
      </c>
      <c r="D72" t="s">
        <v>193</v>
      </c>
      <c r="E72" t="s">
        <v>174</v>
      </c>
      <c r="F72" t="s">
        <v>194</v>
      </c>
      <c r="G72" t="str">
        <f>"201412000120"</f>
        <v>201412000120</v>
      </c>
      <c r="H72">
        <v>825</v>
      </c>
      <c r="I72">
        <v>150</v>
      </c>
      <c r="J72">
        <v>0</v>
      </c>
      <c r="K72">
        <v>0</v>
      </c>
      <c r="L72">
        <v>260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>
        <v>2093</v>
      </c>
    </row>
    <row r="73" spans="1:30" x14ac:dyDescent="0.25">
      <c r="H73" t="s">
        <v>195</v>
      </c>
    </row>
    <row r="74" spans="1:30" x14ac:dyDescent="0.25">
      <c r="A74">
        <v>34</v>
      </c>
      <c r="B74">
        <v>226</v>
      </c>
      <c r="C74" t="s">
        <v>196</v>
      </c>
      <c r="D74" t="s">
        <v>197</v>
      </c>
      <c r="E74" t="s">
        <v>135</v>
      </c>
      <c r="F74" t="s">
        <v>198</v>
      </c>
      <c r="G74" t="str">
        <f>"200905000383"</f>
        <v>200905000383</v>
      </c>
      <c r="H74" t="s">
        <v>199</v>
      </c>
      <c r="I74">
        <v>0</v>
      </c>
      <c r="J74">
        <v>400</v>
      </c>
      <c r="K74">
        <v>0</v>
      </c>
      <c r="L74">
        <v>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0</v>
      </c>
      <c r="AA74">
        <v>0</v>
      </c>
      <c r="AB74">
        <v>24</v>
      </c>
      <c r="AC74">
        <v>408</v>
      </c>
      <c r="AD74" t="s">
        <v>200</v>
      </c>
    </row>
    <row r="75" spans="1:30" x14ac:dyDescent="0.25">
      <c r="H75" t="s">
        <v>201</v>
      </c>
    </row>
    <row r="76" spans="1:30" x14ac:dyDescent="0.25">
      <c r="A76">
        <v>35</v>
      </c>
      <c r="B76">
        <v>3194</v>
      </c>
      <c r="C76" t="s">
        <v>202</v>
      </c>
      <c r="D76" t="s">
        <v>108</v>
      </c>
      <c r="E76" t="s">
        <v>203</v>
      </c>
      <c r="F76" t="s">
        <v>204</v>
      </c>
      <c r="G76" t="str">
        <f>"00339716"</f>
        <v>00339716</v>
      </c>
      <c r="H76" t="s">
        <v>205</v>
      </c>
      <c r="I76">
        <v>0</v>
      </c>
      <c r="J76">
        <v>400</v>
      </c>
      <c r="K76">
        <v>0</v>
      </c>
      <c r="L76">
        <v>200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206</v>
      </c>
    </row>
    <row r="77" spans="1:30" x14ac:dyDescent="0.25">
      <c r="H77" t="s">
        <v>207</v>
      </c>
    </row>
    <row r="78" spans="1:30" x14ac:dyDescent="0.25">
      <c r="A78">
        <v>36</v>
      </c>
      <c r="B78">
        <v>3809</v>
      </c>
      <c r="C78" t="s">
        <v>208</v>
      </c>
      <c r="D78" t="s">
        <v>14</v>
      </c>
      <c r="E78" t="s">
        <v>103</v>
      </c>
      <c r="F78" t="s">
        <v>209</v>
      </c>
      <c r="G78" t="str">
        <f>"00193670"</f>
        <v>00193670</v>
      </c>
      <c r="H78" t="s">
        <v>115</v>
      </c>
      <c r="I78">
        <v>0</v>
      </c>
      <c r="J78">
        <v>400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210</v>
      </c>
    </row>
    <row r="79" spans="1:30" x14ac:dyDescent="0.25">
      <c r="H79" t="s">
        <v>211</v>
      </c>
    </row>
    <row r="80" spans="1:30" x14ac:dyDescent="0.25">
      <c r="A80">
        <v>37</v>
      </c>
      <c r="B80">
        <v>410</v>
      </c>
      <c r="C80" t="s">
        <v>212</v>
      </c>
      <c r="D80" t="s">
        <v>213</v>
      </c>
      <c r="E80" t="s">
        <v>103</v>
      </c>
      <c r="F80" t="s">
        <v>214</v>
      </c>
      <c r="G80" t="str">
        <f>"00263677"</f>
        <v>00263677</v>
      </c>
      <c r="H80" t="s">
        <v>215</v>
      </c>
      <c r="I80">
        <v>0</v>
      </c>
      <c r="J80">
        <v>400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216</v>
      </c>
    </row>
    <row r="81" spans="1:30" x14ac:dyDescent="0.25">
      <c r="H81" t="s">
        <v>217</v>
      </c>
    </row>
    <row r="82" spans="1:30" x14ac:dyDescent="0.25">
      <c r="A82">
        <v>38</v>
      </c>
      <c r="B82">
        <v>4399</v>
      </c>
      <c r="C82" t="s">
        <v>64</v>
      </c>
      <c r="D82" t="s">
        <v>65</v>
      </c>
      <c r="E82" t="s">
        <v>66</v>
      </c>
      <c r="F82" t="s">
        <v>67</v>
      </c>
      <c r="G82" t="str">
        <f>"200802001387"</f>
        <v>200802001387</v>
      </c>
      <c r="H82" t="s">
        <v>68</v>
      </c>
      <c r="I82">
        <v>0</v>
      </c>
      <c r="J82">
        <v>400</v>
      </c>
      <c r="K82">
        <v>0</v>
      </c>
      <c r="L82">
        <v>200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218</v>
      </c>
    </row>
    <row r="83" spans="1:30" x14ac:dyDescent="0.25">
      <c r="H83" t="s">
        <v>70</v>
      </c>
    </row>
    <row r="84" spans="1:30" x14ac:dyDescent="0.25">
      <c r="A84">
        <v>39</v>
      </c>
      <c r="B84">
        <v>2308</v>
      </c>
      <c r="C84" t="s">
        <v>219</v>
      </c>
      <c r="D84" t="s">
        <v>52</v>
      </c>
      <c r="E84" t="s">
        <v>135</v>
      </c>
      <c r="F84" t="s">
        <v>220</v>
      </c>
      <c r="G84" t="str">
        <f>"00254113"</f>
        <v>00254113</v>
      </c>
      <c r="H84" t="s">
        <v>221</v>
      </c>
      <c r="I84">
        <v>0</v>
      </c>
      <c r="J84">
        <v>400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222</v>
      </c>
    </row>
    <row r="85" spans="1:30" x14ac:dyDescent="0.25">
      <c r="H85" t="s">
        <v>223</v>
      </c>
    </row>
    <row r="86" spans="1:30" x14ac:dyDescent="0.25">
      <c r="A86">
        <v>40</v>
      </c>
      <c r="B86">
        <v>2681</v>
      </c>
      <c r="C86" t="s">
        <v>224</v>
      </c>
      <c r="D86" t="s">
        <v>108</v>
      </c>
      <c r="E86" t="s">
        <v>225</v>
      </c>
      <c r="F86" t="s">
        <v>226</v>
      </c>
      <c r="G86" t="str">
        <f>"00083339"</f>
        <v>00083339</v>
      </c>
      <c r="H86" t="s">
        <v>227</v>
      </c>
      <c r="I86">
        <v>0</v>
      </c>
      <c r="J86">
        <v>400</v>
      </c>
      <c r="K86">
        <v>0</v>
      </c>
      <c r="L86">
        <v>260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228</v>
      </c>
    </row>
    <row r="87" spans="1:30" x14ac:dyDescent="0.25">
      <c r="H87" t="s">
        <v>229</v>
      </c>
    </row>
    <row r="88" spans="1:30" x14ac:dyDescent="0.25">
      <c r="A88">
        <v>41</v>
      </c>
      <c r="B88">
        <v>96</v>
      </c>
      <c r="C88" t="s">
        <v>230</v>
      </c>
      <c r="D88" t="s">
        <v>231</v>
      </c>
      <c r="E88" t="s">
        <v>66</v>
      </c>
      <c r="F88" t="s">
        <v>232</v>
      </c>
      <c r="G88" t="str">
        <f>"00215056"</f>
        <v>00215056</v>
      </c>
      <c r="H88">
        <v>781</v>
      </c>
      <c r="I88">
        <v>0</v>
      </c>
      <c r="J88">
        <v>400</v>
      </c>
      <c r="K88">
        <v>0</v>
      </c>
      <c r="L88">
        <v>200</v>
      </c>
      <c r="M88">
        <v>0</v>
      </c>
      <c r="N88">
        <v>70</v>
      </c>
      <c r="O88">
        <v>0</v>
      </c>
      <c r="P88">
        <v>0</v>
      </c>
      <c r="Q88">
        <v>30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>
        <v>2069</v>
      </c>
    </row>
    <row r="89" spans="1:30" x14ac:dyDescent="0.25">
      <c r="H89" t="s">
        <v>233</v>
      </c>
    </row>
    <row r="90" spans="1:30" x14ac:dyDescent="0.25">
      <c r="A90">
        <v>42</v>
      </c>
      <c r="B90">
        <v>392</v>
      </c>
      <c r="C90" t="s">
        <v>234</v>
      </c>
      <c r="D90" t="s">
        <v>77</v>
      </c>
      <c r="E90" t="s">
        <v>148</v>
      </c>
      <c r="F90" t="s">
        <v>235</v>
      </c>
      <c r="G90" t="str">
        <f>"201504004357"</f>
        <v>201504004357</v>
      </c>
      <c r="H90">
        <v>825</v>
      </c>
      <c r="I90">
        <v>0</v>
      </c>
      <c r="J90">
        <v>400</v>
      </c>
      <c r="K90">
        <v>0</v>
      </c>
      <c r="L90">
        <v>200</v>
      </c>
      <c r="M90">
        <v>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>
        <v>2063</v>
      </c>
    </row>
    <row r="91" spans="1:30" x14ac:dyDescent="0.25">
      <c r="H91" t="s">
        <v>236</v>
      </c>
    </row>
    <row r="92" spans="1:30" x14ac:dyDescent="0.25">
      <c r="A92">
        <v>43</v>
      </c>
      <c r="B92">
        <v>4263</v>
      </c>
      <c r="C92" t="s">
        <v>237</v>
      </c>
      <c r="D92" t="s">
        <v>42</v>
      </c>
      <c r="E92" t="s">
        <v>225</v>
      </c>
      <c r="F92" t="s">
        <v>238</v>
      </c>
      <c r="G92" t="str">
        <f>"201510004073"</f>
        <v>201510004073</v>
      </c>
      <c r="H92" t="s">
        <v>239</v>
      </c>
      <c r="I92">
        <v>0</v>
      </c>
      <c r="J92">
        <v>400</v>
      </c>
      <c r="K92">
        <v>0</v>
      </c>
      <c r="L92">
        <v>200</v>
      </c>
      <c r="M92">
        <v>0</v>
      </c>
      <c r="N92">
        <v>70</v>
      </c>
      <c r="O92">
        <v>30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240</v>
      </c>
    </row>
    <row r="93" spans="1:30" x14ac:dyDescent="0.25">
      <c r="H93" t="s">
        <v>241</v>
      </c>
    </row>
    <row r="94" spans="1:30" x14ac:dyDescent="0.25">
      <c r="A94">
        <v>44</v>
      </c>
      <c r="B94">
        <v>5164</v>
      </c>
      <c r="C94" t="s">
        <v>242</v>
      </c>
      <c r="D94" t="s">
        <v>34</v>
      </c>
      <c r="E94" t="s">
        <v>203</v>
      </c>
      <c r="F94" t="s">
        <v>243</v>
      </c>
      <c r="G94" t="str">
        <f>"00029758"</f>
        <v>00029758</v>
      </c>
      <c r="H94" t="s">
        <v>244</v>
      </c>
      <c r="I94">
        <v>0</v>
      </c>
      <c r="J94">
        <v>400</v>
      </c>
      <c r="K94">
        <v>0</v>
      </c>
      <c r="L94">
        <v>200</v>
      </c>
      <c r="M94">
        <v>0</v>
      </c>
      <c r="N94">
        <v>30</v>
      </c>
      <c r="O94">
        <v>0</v>
      </c>
      <c r="P94">
        <v>50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245</v>
      </c>
    </row>
    <row r="95" spans="1:30" x14ac:dyDescent="0.25">
      <c r="H95">
        <v>1078</v>
      </c>
    </row>
    <row r="96" spans="1:30" x14ac:dyDescent="0.25">
      <c r="A96">
        <v>45</v>
      </c>
      <c r="B96">
        <v>1002</v>
      </c>
      <c r="C96" t="s">
        <v>246</v>
      </c>
      <c r="D96" t="s">
        <v>170</v>
      </c>
      <c r="E96" t="s">
        <v>77</v>
      </c>
      <c r="F96" t="s">
        <v>247</v>
      </c>
      <c r="G96" t="str">
        <f>"00018090"</f>
        <v>00018090</v>
      </c>
      <c r="H96" t="s">
        <v>248</v>
      </c>
      <c r="I96">
        <v>0</v>
      </c>
      <c r="J96">
        <v>400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249</v>
      </c>
    </row>
    <row r="97" spans="1:30" x14ac:dyDescent="0.25">
      <c r="H97" t="s">
        <v>250</v>
      </c>
    </row>
    <row r="98" spans="1:30" x14ac:dyDescent="0.25">
      <c r="A98">
        <v>46</v>
      </c>
      <c r="B98">
        <v>2212</v>
      </c>
      <c r="C98" t="s">
        <v>251</v>
      </c>
      <c r="D98" t="s">
        <v>252</v>
      </c>
      <c r="E98" t="s">
        <v>253</v>
      </c>
      <c r="F98" t="s">
        <v>254</v>
      </c>
      <c r="G98" t="str">
        <f>"00314009"</f>
        <v>00314009</v>
      </c>
      <c r="H98" t="s">
        <v>255</v>
      </c>
      <c r="I98">
        <v>0</v>
      </c>
      <c r="J98">
        <v>400</v>
      </c>
      <c r="K98">
        <v>0</v>
      </c>
      <c r="L98">
        <v>0</v>
      </c>
      <c r="M98">
        <v>100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60</v>
      </c>
      <c r="W98">
        <v>420</v>
      </c>
      <c r="X98">
        <v>0</v>
      </c>
      <c r="Z98">
        <v>0</v>
      </c>
      <c r="AA98">
        <v>0</v>
      </c>
      <c r="AB98">
        <v>24</v>
      </c>
      <c r="AC98">
        <v>408</v>
      </c>
      <c r="AD98" t="s">
        <v>256</v>
      </c>
    </row>
    <row r="99" spans="1:30" x14ac:dyDescent="0.25">
      <c r="H99" t="s">
        <v>257</v>
      </c>
    </row>
    <row r="100" spans="1:30" x14ac:dyDescent="0.25">
      <c r="A100">
        <v>47</v>
      </c>
      <c r="B100">
        <v>915</v>
      </c>
      <c r="C100" t="s">
        <v>258</v>
      </c>
      <c r="D100" t="s">
        <v>66</v>
      </c>
      <c r="E100" t="s">
        <v>135</v>
      </c>
      <c r="F100" t="s">
        <v>259</v>
      </c>
      <c r="G100" t="str">
        <f>"201412003564"</f>
        <v>201412003564</v>
      </c>
      <c r="H100" t="s">
        <v>260</v>
      </c>
      <c r="I100">
        <v>0</v>
      </c>
      <c r="J100">
        <v>0</v>
      </c>
      <c r="K100">
        <v>0</v>
      </c>
      <c r="L100">
        <v>260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60</v>
      </c>
      <c r="W100">
        <v>420</v>
      </c>
      <c r="X100">
        <v>0</v>
      </c>
      <c r="Z100">
        <v>0</v>
      </c>
      <c r="AA100">
        <v>0</v>
      </c>
      <c r="AB100">
        <v>24</v>
      </c>
      <c r="AC100">
        <v>408</v>
      </c>
      <c r="AD100" t="s">
        <v>261</v>
      </c>
    </row>
    <row r="101" spans="1:30" x14ac:dyDescent="0.25">
      <c r="H101" t="s">
        <v>262</v>
      </c>
    </row>
    <row r="102" spans="1:30" x14ac:dyDescent="0.25">
      <c r="A102">
        <v>48</v>
      </c>
      <c r="B102">
        <v>4976</v>
      </c>
      <c r="C102" t="s">
        <v>263</v>
      </c>
      <c r="D102" t="s">
        <v>264</v>
      </c>
      <c r="E102" t="s">
        <v>77</v>
      </c>
      <c r="F102" t="s">
        <v>265</v>
      </c>
      <c r="G102" t="str">
        <f>"201412005937"</f>
        <v>201412005937</v>
      </c>
      <c r="H102">
        <v>935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30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56</v>
      </c>
      <c r="W102">
        <v>392</v>
      </c>
      <c r="X102">
        <v>0</v>
      </c>
      <c r="Z102">
        <v>0</v>
      </c>
      <c r="AA102">
        <v>0</v>
      </c>
      <c r="AB102">
        <v>24</v>
      </c>
      <c r="AC102">
        <v>408</v>
      </c>
      <c r="AD102">
        <v>2035</v>
      </c>
    </row>
    <row r="103" spans="1:30" x14ac:dyDescent="0.25">
      <c r="H103" t="s">
        <v>266</v>
      </c>
    </row>
    <row r="104" spans="1:30" x14ac:dyDescent="0.25">
      <c r="A104">
        <v>49</v>
      </c>
      <c r="B104">
        <v>4133</v>
      </c>
      <c r="C104" t="s">
        <v>267</v>
      </c>
      <c r="D104" t="s">
        <v>135</v>
      </c>
      <c r="E104" t="s">
        <v>174</v>
      </c>
      <c r="F104" t="s">
        <v>268</v>
      </c>
      <c r="G104" t="str">
        <f>"00343616"</f>
        <v>00343616</v>
      </c>
      <c r="H104" t="s">
        <v>221</v>
      </c>
      <c r="I104">
        <v>0</v>
      </c>
      <c r="J104">
        <v>400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269</v>
      </c>
    </row>
    <row r="105" spans="1:30" x14ac:dyDescent="0.25">
      <c r="H105" t="s">
        <v>270</v>
      </c>
    </row>
    <row r="106" spans="1:30" x14ac:dyDescent="0.25">
      <c r="A106">
        <v>50</v>
      </c>
      <c r="B106">
        <v>3476</v>
      </c>
      <c r="C106" t="s">
        <v>271</v>
      </c>
      <c r="D106" t="s">
        <v>272</v>
      </c>
      <c r="E106" t="s">
        <v>136</v>
      </c>
      <c r="F106" t="s">
        <v>273</v>
      </c>
      <c r="G106" t="str">
        <f>"201402010320"</f>
        <v>201402010320</v>
      </c>
      <c r="H106" t="s">
        <v>274</v>
      </c>
      <c r="I106">
        <v>0</v>
      </c>
      <c r="J106">
        <v>400</v>
      </c>
      <c r="K106">
        <v>0</v>
      </c>
      <c r="L106">
        <v>200</v>
      </c>
      <c r="M106">
        <v>30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275</v>
      </c>
    </row>
    <row r="107" spans="1:30" x14ac:dyDescent="0.25">
      <c r="H107" t="s">
        <v>276</v>
      </c>
    </row>
    <row r="108" spans="1:30" x14ac:dyDescent="0.25">
      <c r="A108">
        <v>51</v>
      </c>
      <c r="B108">
        <v>1665</v>
      </c>
      <c r="C108" t="s">
        <v>277</v>
      </c>
      <c r="D108" t="s">
        <v>278</v>
      </c>
      <c r="E108" t="s">
        <v>203</v>
      </c>
      <c r="F108" t="s">
        <v>279</v>
      </c>
      <c r="G108" t="str">
        <f>"00143007"</f>
        <v>00143007</v>
      </c>
      <c r="H108" t="s">
        <v>248</v>
      </c>
      <c r="I108">
        <v>0</v>
      </c>
      <c r="J108">
        <v>0</v>
      </c>
      <c r="K108">
        <v>0</v>
      </c>
      <c r="L108">
        <v>260</v>
      </c>
      <c r="M108">
        <v>0</v>
      </c>
      <c r="N108">
        <v>70</v>
      </c>
      <c r="O108">
        <v>70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0</v>
      </c>
      <c r="AA108">
        <v>0</v>
      </c>
      <c r="AB108">
        <v>24</v>
      </c>
      <c r="AC108">
        <v>408</v>
      </c>
      <c r="AD108" t="s">
        <v>280</v>
      </c>
    </row>
    <row r="109" spans="1:30" x14ac:dyDescent="0.25">
      <c r="H109" t="s">
        <v>281</v>
      </c>
    </row>
    <row r="110" spans="1:30" x14ac:dyDescent="0.25">
      <c r="A110">
        <v>52</v>
      </c>
      <c r="B110">
        <v>5091</v>
      </c>
      <c r="C110" t="s">
        <v>282</v>
      </c>
      <c r="D110" t="s">
        <v>283</v>
      </c>
      <c r="E110" t="s">
        <v>148</v>
      </c>
      <c r="F110" t="s">
        <v>284</v>
      </c>
      <c r="G110" t="str">
        <f>"00016411"</f>
        <v>00016411</v>
      </c>
      <c r="H110" t="s">
        <v>285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50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60</v>
      </c>
      <c r="W110">
        <v>420</v>
      </c>
      <c r="X110">
        <v>0</v>
      </c>
      <c r="Z110">
        <v>0</v>
      </c>
      <c r="AA110">
        <v>0</v>
      </c>
      <c r="AB110">
        <v>24</v>
      </c>
      <c r="AC110">
        <v>408</v>
      </c>
      <c r="AD110" t="s">
        <v>286</v>
      </c>
    </row>
    <row r="111" spans="1:30" x14ac:dyDescent="0.25">
      <c r="H111">
        <v>1078</v>
      </c>
    </row>
    <row r="112" spans="1:30" x14ac:dyDescent="0.25">
      <c r="A112">
        <v>53</v>
      </c>
      <c r="B112">
        <v>190</v>
      </c>
      <c r="C112" t="s">
        <v>287</v>
      </c>
      <c r="D112" t="s">
        <v>28</v>
      </c>
      <c r="E112" t="s">
        <v>108</v>
      </c>
      <c r="F112" t="s">
        <v>288</v>
      </c>
      <c r="G112" t="str">
        <f>"00281893"</f>
        <v>00281893</v>
      </c>
      <c r="H112" t="s">
        <v>289</v>
      </c>
      <c r="I112">
        <v>0</v>
      </c>
      <c r="J112">
        <v>400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60</v>
      </c>
      <c r="W112">
        <v>420</v>
      </c>
      <c r="X112">
        <v>0</v>
      </c>
      <c r="Z112">
        <v>0</v>
      </c>
      <c r="AA112">
        <v>0</v>
      </c>
      <c r="AB112">
        <v>24</v>
      </c>
      <c r="AC112">
        <v>408</v>
      </c>
      <c r="AD112" t="s">
        <v>290</v>
      </c>
    </row>
    <row r="113" spans="1:30" x14ac:dyDescent="0.25">
      <c r="H113" t="s">
        <v>291</v>
      </c>
    </row>
    <row r="114" spans="1:30" x14ac:dyDescent="0.25">
      <c r="A114">
        <v>54</v>
      </c>
      <c r="B114">
        <v>2578</v>
      </c>
      <c r="C114" t="s">
        <v>292</v>
      </c>
      <c r="D114" t="s">
        <v>293</v>
      </c>
      <c r="E114" t="s">
        <v>294</v>
      </c>
      <c r="F114" t="s">
        <v>295</v>
      </c>
      <c r="G114" t="str">
        <f>"00186010"</f>
        <v>00186010</v>
      </c>
      <c r="H114">
        <v>803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50</v>
      </c>
      <c r="P114">
        <v>50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60</v>
      </c>
      <c r="W114">
        <v>420</v>
      </c>
      <c r="X114">
        <v>0</v>
      </c>
      <c r="Z114">
        <v>0</v>
      </c>
      <c r="AA114">
        <v>0</v>
      </c>
      <c r="AB114">
        <v>24</v>
      </c>
      <c r="AC114">
        <v>408</v>
      </c>
      <c r="AD114">
        <v>2001</v>
      </c>
    </row>
    <row r="115" spans="1:30" x14ac:dyDescent="0.25">
      <c r="H115">
        <v>1089</v>
      </c>
    </row>
    <row r="116" spans="1:30" x14ac:dyDescent="0.25">
      <c r="A116">
        <v>55</v>
      </c>
      <c r="B116">
        <v>3442</v>
      </c>
      <c r="C116" t="s">
        <v>296</v>
      </c>
      <c r="D116" t="s">
        <v>14</v>
      </c>
      <c r="E116" t="s">
        <v>135</v>
      </c>
      <c r="F116" t="s">
        <v>297</v>
      </c>
      <c r="G116" t="str">
        <f>"00367912"</f>
        <v>00367912</v>
      </c>
      <c r="H116">
        <v>924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56</v>
      </c>
      <c r="W116">
        <v>392</v>
      </c>
      <c r="X116">
        <v>0</v>
      </c>
      <c r="Z116">
        <v>0</v>
      </c>
      <c r="AA116">
        <v>0</v>
      </c>
      <c r="AB116">
        <v>24</v>
      </c>
      <c r="AC116">
        <v>408</v>
      </c>
      <c r="AD116">
        <v>1994</v>
      </c>
    </row>
    <row r="117" spans="1:30" x14ac:dyDescent="0.25">
      <c r="H117" t="s">
        <v>298</v>
      </c>
    </row>
    <row r="118" spans="1:30" x14ac:dyDescent="0.25">
      <c r="A118">
        <v>56</v>
      </c>
      <c r="B118">
        <v>2368</v>
      </c>
      <c r="C118" t="s">
        <v>299</v>
      </c>
      <c r="D118" t="s">
        <v>300</v>
      </c>
      <c r="E118" t="s">
        <v>135</v>
      </c>
      <c r="F118" t="s">
        <v>301</v>
      </c>
      <c r="G118" t="str">
        <f>"200902000180"</f>
        <v>200902000180</v>
      </c>
      <c r="H118" t="s">
        <v>302</v>
      </c>
      <c r="I118">
        <v>0</v>
      </c>
      <c r="J118">
        <v>0</v>
      </c>
      <c r="K118">
        <v>0</v>
      </c>
      <c r="L118">
        <v>200</v>
      </c>
      <c r="M118">
        <v>30</v>
      </c>
      <c r="N118">
        <v>70</v>
      </c>
      <c r="O118">
        <v>0</v>
      </c>
      <c r="P118">
        <v>50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60</v>
      </c>
      <c r="W118">
        <v>420</v>
      </c>
      <c r="X118">
        <v>0</v>
      </c>
      <c r="Z118">
        <v>0</v>
      </c>
      <c r="AA118">
        <v>0</v>
      </c>
      <c r="AB118">
        <v>24</v>
      </c>
      <c r="AC118">
        <v>408</v>
      </c>
      <c r="AD118" t="s">
        <v>303</v>
      </c>
    </row>
    <row r="119" spans="1:30" x14ac:dyDescent="0.25">
      <c r="H119" t="s">
        <v>304</v>
      </c>
    </row>
    <row r="120" spans="1:30" x14ac:dyDescent="0.25">
      <c r="A120">
        <v>57</v>
      </c>
      <c r="B120">
        <v>4004</v>
      </c>
      <c r="C120" t="s">
        <v>305</v>
      </c>
      <c r="D120" t="s">
        <v>306</v>
      </c>
      <c r="E120" t="s">
        <v>307</v>
      </c>
      <c r="F120" t="s">
        <v>308</v>
      </c>
      <c r="G120" t="str">
        <f>"200804000794"</f>
        <v>200804000794</v>
      </c>
      <c r="H120">
        <v>803</v>
      </c>
      <c r="I120">
        <v>0</v>
      </c>
      <c r="J120">
        <v>0</v>
      </c>
      <c r="K120">
        <v>0</v>
      </c>
      <c r="L120">
        <v>260</v>
      </c>
      <c r="M120">
        <v>0</v>
      </c>
      <c r="N120">
        <v>70</v>
      </c>
      <c r="O120">
        <v>0</v>
      </c>
      <c r="P120">
        <v>0</v>
      </c>
      <c r="Q120">
        <v>30</v>
      </c>
      <c r="R120">
        <v>0</v>
      </c>
      <c r="S120">
        <v>0</v>
      </c>
      <c r="T120">
        <v>0</v>
      </c>
      <c r="U120">
        <v>0</v>
      </c>
      <c r="V120">
        <v>60</v>
      </c>
      <c r="W120">
        <v>420</v>
      </c>
      <c r="X120">
        <v>0</v>
      </c>
      <c r="Z120">
        <v>0</v>
      </c>
      <c r="AA120">
        <v>0</v>
      </c>
      <c r="AB120">
        <v>24</v>
      </c>
      <c r="AC120">
        <v>408</v>
      </c>
      <c r="AD120">
        <v>1991</v>
      </c>
    </row>
    <row r="121" spans="1:30" x14ac:dyDescent="0.25">
      <c r="H121" t="s">
        <v>309</v>
      </c>
    </row>
    <row r="122" spans="1:30" x14ac:dyDescent="0.25">
      <c r="A122">
        <v>58</v>
      </c>
      <c r="B122">
        <v>3938</v>
      </c>
      <c r="C122" t="s">
        <v>310</v>
      </c>
      <c r="D122" t="s">
        <v>164</v>
      </c>
      <c r="E122" t="s">
        <v>311</v>
      </c>
      <c r="F122" t="s">
        <v>312</v>
      </c>
      <c r="G122" t="str">
        <f>"00144836"</f>
        <v>00144836</v>
      </c>
      <c r="H122" t="s">
        <v>313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30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60</v>
      </c>
      <c r="W122">
        <v>420</v>
      </c>
      <c r="X122">
        <v>0</v>
      </c>
      <c r="Z122">
        <v>0</v>
      </c>
      <c r="AA122">
        <v>0</v>
      </c>
      <c r="AB122">
        <v>24</v>
      </c>
      <c r="AC122">
        <v>408</v>
      </c>
      <c r="AD122" t="s">
        <v>314</v>
      </c>
    </row>
    <row r="123" spans="1:30" x14ac:dyDescent="0.25">
      <c r="H123" t="s">
        <v>315</v>
      </c>
    </row>
    <row r="124" spans="1:30" x14ac:dyDescent="0.25">
      <c r="A124">
        <v>59</v>
      </c>
      <c r="B124">
        <v>3314</v>
      </c>
      <c r="C124" t="s">
        <v>316</v>
      </c>
      <c r="D124" t="s">
        <v>317</v>
      </c>
      <c r="E124" t="s">
        <v>103</v>
      </c>
      <c r="F124" t="s">
        <v>318</v>
      </c>
      <c r="G124" t="str">
        <f>"00022957"</f>
        <v>00022957</v>
      </c>
      <c r="H124" t="s">
        <v>319</v>
      </c>
      <c r="I124">
        <v>0</v>
      </c>
      <c r="J124">
        <v>400</v>
      </c>
      <c r="K124">
        <v>0</v>
      </c>
      <c r="L124">
        <v>200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320</v>
      </c>
    </row>
    <row r="125" spans="1:30" x14ac:dyDescent="0.25">
      <c r="H125" t="s">
        <v>321</v>
      </c>
    </row>
    <row r="126" spans="1:30" x14ac:dyDescent="0.25">
      <c r="A126">
        <v>60</v>
      </c>
      <c r="B126">
        <v>89</v>
      </c>
      <c r="C126" t="s">
        <v>322</v>
      </c>
      <c r="D126" t="s">
        <v>142</v>
      </c>
      <c r="E126" t="s">
        <v>135</v>
      </c>
      <c r="F126" t="s">
        <v>323</v>
      </c>
      <c r="G126" t="str">
        <f>"201504000604"</f>
        <v>201504000604</v>
      </c>
      <c r="H126" t="s">
        <v>221</v>
      </c>
      <c r="I126">
        <v>0</v>
      </c>
      <c r="J126">
        <v>0</v>
      </c>
      <c r="K126">
        <v>0</v>
      </c>
      <c r="L126">
        <v>260</v>
      </c>
      <c r="M126">
        <v>0</v>
      </c>
      <c r="N126">
        <v>30</v>
      </c>
      <c r="O126">
        <v>0</v>
      </c>
      <c r="P126">
        <v>0</v>
      </c>
      <c r="Q126">
        <v>50</v>
      </c>
      <c r="R126">
        <v>0</v>
      </c>
      <c r="S126">
        <v>0</v>
      </c>
      <c r="T126">
        <v>0</v>
      </c>
      <c r="U126">
        <v>0</v>
      </c>
      <c r="V126">
        <v>60</v>
      </c>
      <c r="W126">
        <v>420</v>
      </c>
      <c r="X126">
        <v>0</v>
      </c>
      <c r="Z126">
        <v>0</v>
      </c>
      <c r="AA126">
        <v>0</v>
      </c>
      <c r="AB126">
        <v>24</v>
      </c>
      <c r="AC126">
        <v>408</v>
      </c>
      <c r="AD126" t="s">
        <v>324</v>
      </c>
    </row>
    <row r="127" spans="1:30" x14ac:dyDescent="0.25">
      <c r="H127" t="s">
        <v>325</v>
      </c>
    </row>
    <row r="128" spans="1:30" x14ac:dyDescent="0.25">
      <c r="A128">
        <v>61</v>
      </c>
      <c r="B128">
        <v>4750</v>
      </c>
      <c r="C128" t="s">
        <v>326</v>
      </c>
      <c r="D128" t="s">
        <v>327</v>
      </c>
      <c r="E128" t="s">
        <v>35</v>
      </c>
      <c r="F128" t="s">
        <v>328</v>
      </c>
      <c r="G128" t="str">
        <f>"200912000245"</f>
        <v>200912000245</v>
      </c>
      <c r="H128" t="s">
        <v>329</v>
      </c>
      <c r="I128">
        <v>0</v>
      </c>
      <c r="J128">
        <v>0</v>
      </c>
      <c r="K128">
        <v>0</v>
      </c>
      <c r="L128">
        <v>200</v>
      </c>
      <c r="M128">
        <v>30</v>
      </c>
      <c r="N128">
        <v>70</v>
      </c>
      <c r="O128">
        <v>30</v>
      </c>
      <c r="P128">
        <v>0</v>
      </c>
      <c r="Q128">
        <v>50</v>
      </c>
      <c r="R128">
        <v>0</v>
      </c>
      <c r="S128">
        <v>0</v>
      </c>
      <c r="T128">
        <v>0</v>
      </c>
      <c r="U128">
        <v>0</v>
      </c>
      <c r="V128">
        <v>60</v>
      </c>
      <c r="W128">
        <v>420</v>
      </c>
      <c r="X128">
        <v>0</v>
      </c>
      <c r="Z128">
        <v>0</v>
      </c>
      <c r="AA128">
        <v>0</v>
      </c>
      <c r="AB128">
        <v>24</v>
      </c>
      <c r="AC128">
        <v>408</v>
      </c>
      <c r="AD128" t="s">
        <v>330</v>
      </c>
    </row>
    <row r="129" spans="1:30" x14ac:dyDescent="0.25">
      <c r="H129" t="s">
        <v>331</v>
      </c>
    </row>
    <row r="130" spans="1:30" x14ac:dyDescent="0.25">
      <c r="A130">
        <v>62</v>
      </c>
      <c r="B130">
        <v>1643</v>
      </c>
      <c r="C130" t="s">
        <v>332</v>
      </c>
      <c r="D130" t="s">
        <v>333</v>
      </c>
      <c r="E130" t="s">
        <v>272</v>
      </c>
      <c r="F130" t="s">
        <v>334</v>
      </c>
      <c r="G130" t="str">
        <f>"00315109"</f>
        <v>00315109</v>
      </c>
      <c r="H130" t="s">
        <v>335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30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60</v>
      </c>
      <c r="W130">
        <v>420</v>
      </c>
      <c r="X130">
        <v>0</v>
      </c>
      <c r="Z130">
        <v>0</v>
      </c>
      <c r="AA130">
        <v>0</v>
      </c>
      <c r="AB130">
        <v>24</v>
      </c>
      <c r="AC130">
        <v>408</v>
      </c>
      <c r="AD130" t="s">
        <v>336</v>
      </c>
    </row>
    <row r="131" spans="1:30" x14ac:dyDescent="0.25">
      <c r="H131" t="s">
        <v>337</v>
      </c>
    </row>
    <row r="132" spans="1:30" x14ac:dyDescent="0.25">
      <c r="A132">
        <v>63</v>
      </c>
      <c r="B132">
        <v>5120</v>
      </c>
      <c r="C132" t="s">
        <v>338</v>
      </c>
      <c r="D132" t="s">
        <v>59</v>
      </c>
      <c r="E132" t="s">
        <v>42</v>
      </c>
      <c r="F132" t="s">
        <v>339</v>
      </c>
      <c r="G132" t="str">
        <f>"200712001403"</f>
        <v>200712001403</v>
      </c>
      <c r="H132">
        <v>759</v>
      </c>
      <c r="I132">
        <v>0</v>
      </c>
      <c r="J132">
        <v>400</v>
      </c>
      <c r="K132">
        <v>0</v>
      </c>
      <c r="L132">
        <v>200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>
        <v>1977</v>
      </c>
    </row>
    <row r="133" spans="1:30" x14ac:dyDescent="0.25">
      <c r="H133" t="s">
        <v>340</v>
      </c>
    </row>
    <row r="134" spans="1:30" x14ac:dyDescent="0.25">
      <c r="A134">
        <v>64</v>
      </c>
      <c r="B134">
        <v>564</v>
      </c>
      <c r="C134" t="s">
        <v>341</v>
      </c>
      <c r="D134" t="s">
        <v>342</v>
      </c>
      <c r="E134" t="s">
        <v>28</v>
      </c>
      <c r="F134" t="s">
        <v>343</v>
      </c>
      <c r="G134" t="str">
        <f>"00287979"</f>
        <v>00287979</v>
      </c>
      <c r="H134" t="s">
        <v>344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50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60</v>
      </c>
      <c r="W134">
        <v>420</v>
      </c>
      <c r="X134">
        <v>0</v>
      </c>
      <c r="Z134">
        <v>0</v>
      </c>
      <c r="AA134">
        <v>0</v>
      </c>
      <c r="AB134">
        <v>24</v>
      </c>
      <c r="AC134">
        <v>408</v>
      </c>
      <c r="AD134" t="s">
        <v>345</v>
      </c>
    </row>
    <row r="135" spans="1:30" x14ac:dyDescent="0.25">
      <c r="H135" t="s">
        <v>346</v>
      </c>
    </row>
    <row r="136" spans="1:30" x14ac:dyDescent="0.25">
      <c r="A136">
        <v>65</v>
      </c>
      <c r="B136">
        <v>2653</v>
      </c>
      <c r="C136" t="s">
        <v>158</v>
      </c>
      <c r="D136" t="s">
        <v>77</v>
      </c>
      <c r="E136" t="s">
        <v>42</v>
      </c>
      <c r="F136" t="s">
        <v>347</v>
      </c>
      <c r="G136" t="str">
        <f>"00328919"</f>
        <v>00328919</v>
      </c>
      <c r="H136" t="s">
        <v>348</v>
      </c>
      <c r="I136">
        <v>0</v>
      </c>
      <c r="J136">
        <v>400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349</v>
      </c>
    </row>
    <row r="137" spans="1:30" x14ac:dyDescent="0.25">
      <c r="H137" t="s">
        <v>350</v>
      </c>
    </row>
    <row r="138" spans="1:30" x14ac:dyDescent="0.25">
      <c r="A138">
        <v>66</v>
      </c>
      <c r="B138">
        <v>1030</v>
      </c>
      <c r="C138" t="s">
        <v>351</v>
      </c>
      <c r="D138" t="s">
        <v>164</v>
      </c>
      <c r="E138" t="s">
        <v>352</v>
      </c>
      <c r="F138" t="s">
        <v>353</v>
      </c>
      <c r="G138" t="str">
        <f>"00019864"</f>
        <v>00019864</v>
      </c>
      <c r="H138" t="s">
        <v>354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30</v>
      </c>
      <c r="Q138">
        <v>50</v>
      </c>
      <c r="R138">
        <v>0</v>
      </c>
      <c r="S138">
        <v>0</v>
      </c>
      <c r="T138">
        <v>0</v>
      </c>
      <c r="U138">
        <v>0</v>
      </c>
      <c r="V138">
        <v>60</v>
      </c>
      <c r="W138">
        <v>420</v>
      </c>
      <c r="X138">
        <v>0</v>
      </c>
      <c r="Z138">
        <v>0</v>
      </c>
      <c r="AA138">
        <v>0</v>
      </c>
      <c r="AB138">
        <v>24</v>
      </c>
      <c r="AC138">
        <v>408</v>
      </c>
      <c r="AD138" t="s">
        <v>355</v>
      </c>
    </row>
    <row r="139" spans="1:30" x14ac:dyDescent="0.25">
      <c r="H139">
        <v>1079</v>
      </c>
    </row>
    <row r="140" spans="1:30" x14ac:dyDescent="0.25">
      <c r="A140">
        <v>67</v>
      </c>
      <c r="B140">
        <v>52</v>
      </c>
      <c r="C140" t="s">
        <v>356</v>
      </c>
      <c r="D140" t="s">
        <v>357</v>
      </c>
      <c r="E140" t="s">
        <v>135</v>
      </c>
      <c r="F140" t="s">
        <v>358</v>
      </c>
      <c r="G140" t="str">
        <f>"201504002284"</f>
        <v>201504002284</v>
      </c>
      <c r="H140" t="s">
        <v>359</v>
      </c>
      <c r="I140">
        <v>0</v>
      </c>
      <c r="J140">
        <v>0</v>
      </c>
      <c r="K140">
        <v>0</v>
      </c>
      <c r="L140">
        <v>260</v>
      </c>
      <c r="M140">
        <v>0</v>
      </c>
      <c r="N140">
        <v>70</v>
      </c>
      <c r="O140">
        <v>30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60</v>
      </c>
      <c r="W140">
        <v>420</v>
      </c>
      <c r="X140">
        <v>0</v>
      </c>
      <c r="Z140">
        <v>0</v>
      </c>
      <c r="AA140">
        <v>0</v>
      </c>
      <c r="AB140">
        <v>24</v>
      </c>
      <c r="AC140">
        <v>408</v>
      </c>
      <c r="AD140" t="s">
        <v>360</v>
      </c>
    </row>
    <row r="141" spans="1:30" x14ac:dyDescent="0.25">
      <c r="H141" t="s">
        <v>361</v>
      </c>
    </row>
    <row r="142" spans="1:30" x14ac:dyDescent="0.25">
      <c r="A142">
        <v>68</v>
      </c>
      <c r="B142">
        <v>4736</v>
      </c>
      <c r="C142" t="s">
        <v>362</v>
      </c>
      <c r="D142" t="s">
        <v>213</v>
      </c>
      <c r="E142" t="s">
        <v>363</v>
      </c>
      <c r="F142" t="s">
        <v>364</v>
      </c>
      <c r="G142" t="str">
        <f>"00020478"</f>
        <v>00020478</v>
      </c>
      <c r="H142" t="s">
        <v>365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56</v>
      </c>
      <c r="W142">
        <v>392</v>
      </c>
      <c r="X142">
        <v>0</v>
      </c>
      <c r="Z142">
        <v>0</v>
      </c>
      <c r="AA142">
        <v>0</v>
      </c>
      <c r="AB142">
        <v>20</v>
      </c>
      <c r="AC142">
        <v>340</v>
      </c>
      <c r="AD142" t="s">
        <v>366</v>
      </c>
    </row>
    <row r="143" spans="1:30" x14ac:dyDescent="0.25">
      <c r="H143" t="s">
        <v>367</v>
      </c>
    </row>
    <row r="144" spans="1:30" x14ac:dyDescent="0.25">
      <c r="A144">
        <v>69</v>
      </c>
      <c r="B144">
        <v>431</v>
      </c>
      <c r="C144" t="s">
        <v>368</v>
      </c>
      <c r="D144" t="s">
        <v>135</v>
      </c>
      <c r="E144" t="s">
        <v>59</v>
      </c>
      <c r="F144" t="s">
        <v>369</v>
      </c>
      <c r="G144" t="str">
        <f>"201504004108"</f>
        <v>201504004108</v>
      </c>
      <c r="H144" t="s">
        <v>215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50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60</v>
      </c>
      <c r="W144">
        <v>420</v>
      </c>
      <c r="X144">
        <v>0</v>
      </c>
      <c r="Z144">
        <v>0</v>
      </c>
      <c r="AA144">
        <v>0</v>
      </c>
      <c r="AB144">
        <v>24</v>
      </c>
      <c r="AC144">
        <v>408</v>
      </c>
      <c r="AD144" t="s">
        <v>370</v>
      </c>
    </row>
    <row r="145" spans="1:30" x14ac:dyDescent="0.25">
      <c r="H145" t="s">
        <v>371</v>
      </c>
    </row>
    <row r="146" spans="1:30" x14ac:dyDescent="0.25">
      <c r="A146">
        <v>70</v>
      </c>
      <c r="B146">
        <v>1033</v>
      </c>
      <c r="C146" t="s">
        <v>372</v>
      </c>
      <c r="D146" t="s">
        <v>373</v>
      </c>
      <c r="E146" t="s">
        <v>108</v>
      </c>
      <c r="F146" t="s">
        <v>374</v>
      </c>
      <c r="G146" t="str">
        <f>"200802009901"</f>
        <v>200802009901</v>
      </c>
      <c r="H146" t="s">
        <v>375</v>
      </c>
      <c r="I146">
        <v>0</v>
      </c>
      <c r="J146">
        <v>0</v>
      </c>
      <c r="K146">
        <v>0</v>
      </c>
      <c r="L146">
        <v>260</v>
      </c>
      <c r="M146">
        <v>0</v>
      </c>
      <c r="N146">
        <v>70</v>
      </c>
      <c r="O146">
        <v>0</v>
      </c>
      <c r="P146">
        <v>50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60</v>
      </c>
      <c r="W146">
        <v>420</v>
      </c>
      <c r="X146">
        <v>0</v>
      </c>
      <c r="Z146">
        <v>0</v>
      </c>
      <c r="AA146">
        <v>0</v>
      </c>
      <c r="AB146">
        <v>24</v>
      </c>
      <c r="AC146">
        <v>408</v>
      </c>
      <c r="AD146" t="s">
        <v>376</v>
      </c>
    </row>
    <row r="147" spans="1:30" x14ac:dyDescent="0.25">
      <c r="H147" t="s">
        <v>377</v>
      </c>
    </row>
    <row r="148" spans="1:30" x14ac:dyDescent="0.25">
      <c r="A148">
        <v>71</v>
      </c>
      <c r="B148">
        <v>4912</v>
      </c>
      <c r="C148" t="s">
        <v>378</v>
      </c>
      <c r="D148" t="s">
        <v>379</v>
      </c>
      <c r="E148" t="s">
        <v>352</v>
      </c>
      <c r="F148" t="s">
        <v>380</v>
      </c>
      <c r="G148" t="str">
        <f>"201504004376"</f>
        <v>201504004376</v>
      </c>
      <c r="H148" t="s">
        <v>381</v>
      </c>
      <c r="I148">
        <v>0</v>
      </c>
      <c r="J148">
        <v>400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50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37</v>
      </c>
      <c r="W148">
        <v>259</v>
      </c>
      <c r="X148">
        <v>0</v>
      </c>
      <c r="Z148">
        <v>1</v>
      </c>
      <c r="AA148">
        <v>0</v>
      </c>
      <c r="AB148">
        <v>15</v>
      </c>
      <c r="AC148">
        <v>255</v>
      </c>
      <c r="AD148" t="s">
        <v>382</v>
      </c>
    </row>
    <row r="149" spans="1:30" x14ac:dyDescent="0.25">
      <c r="H149" t="s">
        <v>383</v>
      </c>
    </row>
    <row r="150" spans="1:30" x14ac:dyDescent="0.25">
      <c r="A150">
        <v>72</v>
      </c>
      <c r="B150">
        <v>978</v>
      </c>
      <c r="C150" t="s">
        <v>384</v>
      </c>
      <c r="D150" t="s">
        <v>48</v>
      </c>
      <c r="E150" t="s">
        <v>28</v>
      </c>
      <c r="F150" t="s">
        <v>385</v>
      </c>
      <c r="G150" t="str">
        <f>"00030549"</f>
        <v>00030549</v>
      </c>
      <c r="H150" t="s">
        <v>386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30</v>
      </c>
      <c r="R150">
        <v>0</v>
      </c>
      <c r="S150">
        <v>0</v>
      </c>
      <c r="T150">
        <v>0</v>
      </c>
      <c r="U150">
        <v>0</v>
      </c>
      <c r="V150">
        <v>60</v>
      </c>
      <c r="W150">
        <v>420</v>
      </c>
      <c r="X150">
        <v>0</v>
      </c>
      <c r="Z150">
        <v>0</v>
      </c>
      <c r="AA150">
        <v>0</v>
      </c>
      <c r="AB150">
        <v>24</v>
      </c>
      <c r="AC150">
        <v>408</v>
      </c>
      <c r="AD150" t="s">
        <v>387</v>
      </c>
    </row>
    <row r="151" spans="1:30" x14ac:dyDescent="0.25">
      <c r="H151" t="s">
        <v>250</v>
      </c>
    </row>
    <row r="152" spans="1:30" x14ac:dyDescent="0.25">
      <c r="A152">
        <v>73</v>
      </c>
      <c r="B152">
        <v>2827</v>
      </c>
      <c r="C152" t="s">
        <v>388</v>
      </c>
      <c r="D152" t="s">
        <v>389</v>
      </c>
      <c r="E152" t="s">
        <v>83</v>
      </c>
      <c r="F152" t="s">
        <v>390</v>
      </c>
      <c r="G152" t="str">
        <f>"201504004765"</f>
        <v>201504004765</v>
      </c>
      <c r="H152">
        <v>880</v>
      </c>
      <c r="I152">
        <v>150</v>
      </c>
      <c r="J152">
        <v>0</v>
      </c>
      <c r="K152">
        <v>0</v>
      </c>
      <c r="L152">
        <v>260</v>
      </c>
      <c r="M152">
        <v>0</v>
      </c>
      <c r="N152">
        <v>70</v>
      </c>
      <c r="O152">
        <v>0</v>
      </c>
      <c r="P152">
        <v>30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23</v>
      </c>
      <c r="W152">
        <v>161</v>
      </c>
      <c r="X152">
        <v>0</v>
      </c>
      <c r="Z152">
        <v>0</v>
      </c>
      <c r="AA152">
        <v>0</v>
      </c>
      <c r="AB152">
        <v>24</v>
      </c>
      <c r="AC152">
        <v>408</v>
      </c>
      <c r="AD152">
        <v>1959</v>
      </c>
    </row>
    <row r="153" spans="1:30" x14ac:dyDescent="0.25">
      <c r="H153" t="s">
        <v>391</v>
      </c>
    </row>
    <row r="154" spans="1:30" x14ac:dyDescent="0.25">
      <c r="A154">
        <v>74</v>
      </c>
      <c r="B154">
        <v>2915</v>
      </c>
      <c r="C154" t="s">
        <v>392</v>
      </c>
      <c r="D154" t="s">
        <v>393</v>
      </c>
      <c r="E154" t="s">
        <v>119</v>
      </c>
      <c r="F154" t="s">
        <v>394</v>
      </c>
      <c r="G154" t="str">
        <f>"00020723"</f>
        <v>00020723</v>
      </c>
      <c r="H154" t="s">
        <v>395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30</v>
      </c>
      <c r="S154">
        <v>0</v>
      </c>
      <c r="T154">
        <v>0</v>
      </c>
      <c r="U154">
        <v>0</v>
      </c>
      <c r="V154">
        <v>60</v>
      </c>
      <c r="W154">
        <v>420</v>
      </c>
      <c r="X154">
        <v>0</v>
      </c>
      <c r="Z154">
        <v>0</v>
      </c>
      <c r="AA154">
        <v>0</v>
      </c>
      <c r="AB154">
        <v>24</v>
      </c>
      <c r="AC154">
        <v>408</v>
      </c>
      <c r="AD154" t="s">
        <v>396</v>
      </c>
    </row>
    <row r="155" spans="1:30" x14ac:dyDescent="0.25">
      <c r="H155" t="s">
        <v>397</v>
      </c>
    </row>
    <row r="156" spans="1:30" x14ac:dyDescent="0.25">
      <c r="A156">
        <v>75</v>
      </c>
      <c r="B156">
        <v>2183</v>
      </c>
      <c r="C156" t="s">
        <v>398</v>
      </c>
      <c r="D156" t="s">
        <v>399</v>
      </c>
      <c r="E156" t="s">
        <v>352</v>
      </c>
      <c r="F156" t="s">
        <v>400</v>
      </c>
      <c r="G156" t="str">
        <f>"00263789"</f>
        <v>00263789</v>
      </c>
      <c r="H156" t="s">
        <v>115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30</v>
      </c>
      <c r="R156">
        <v>0</v>
      </c>
      <c r="S156">
        <v>0</v>
      </c>
      <c r="T156">
        <v>0</v>
      </c>
      <c r="U156">
        <v>0</v>
      </c>
      <c r="V156">
        <v>60</v>
      </c>
      <c r="W156">
        <v>420</v>
      </c>
      <c r="X156">
        <v>0</v>
      </c>
      <c r="Z156">
        <v>0</v>
      </c>
      <c r="AA156">
        <v>0</v>
      </c>
      <c r="AB156">
        <v>24</v>
      </c>
      <c r="AC156">
        <v>408</v>
      </c>
      <c r="AD156" t="s">
        <v>401</v>
      </c>
    </row>
    <row r="157" spans="1:30" x14ac:dyDescent="0.25">
      <c r="H157" t="s">
        <v>402</v>
      </c>
    </row>
    <row r="158" spans="1:30" x14ac:dyDescent="0.25">
      <c r="A158">
        <v>76</v>
      </c>
      <c r="B158">
        <v>4337</v>
      </c>
      <c r="C158" t="s">
        <v>403</v>
      </c>
      <c r="D158" t="s">
        <v>89</v>
      </c>
      <c r="E158" t="s">
        <v>42</v>
      </c>
      <c r="F158" t="s">
        <v>404</v>
      </c>
      <c r="G158" t="str">
        <f>"201406012221"</f>
        <v>201406012221</v>
      </c>
      <c r="H158" t="s">
        <v>199</v>
      </c>
      <c r="I158">
        <v>0</v>
      </c>
      <c r="J158">
        <v>0</v>
      </c>
      <c r="K158">
        <v>0</v>
      </c>
      <c r="L158">
        <v>260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60</v>
      </c>
      <c r="W158">
        <v>420</v>
      </c>
      <c r="X158">
        <v>0</v>
      </c>
      <c r="Z158">
        <v>0</v>
      </c>
      <c r="AA158">
        <v>0</v>
      </c>
      <c r="AB158">
        <v>24</v>
      </c>
      <c r="AC158">
        <v>408</v>
      </c>
      <c r="AD158" t="s">
        <v>405</v>
      </c>
    </row>
    <row r="159" spans="1:30" x14ac:dyDescent="0.25">
      <c r="H159" t="s">
        <v>406</v>
      </c>
    </row>
    <row r="160" spans="1:30" x14ac:dyDescent="0.25">
      <c r="A160">
        <v>77</v>
      </c>
      <c r="B160">
        <v>4437</v>
      </c>
      <c r="C160" t="s">
        <v>407</v>
      </c>
      <c r="D160" t="s">
        <v>408</v>
      </c>
      <c r="E160" t="s">
        <v>135</v>
      </c>
      <c r="F160" t="s">
        <v>409</v>
      </c>
      <c r="G160" t="str">
        <f>"00189161"</f>
        <v>00189161</v>
      </c>
      <c r="H160" t="s">
        <v>85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60</v>
      </c>
      <c r="W160">
        <v>420</v>
      </c>
      <c r="X160">
        <v>0</v>
      </c>
      <c r="Z160">
        <v>0</v>
      </c>
      <c r="AA160">
        <v>0</v>
      </c>
      <c r="AB160">
        <v>24</v>
      </c>
      <c r="AC160">
        <v>408</v>
      </c>
      <c r="AD160" t="s">
        <v>410</v>
      </c>
    </row>
    <row r="161" spans="1:30" x14ac:dyDescent="0.25">
      <c r="H161" t="s">
        <v>411</v>
      </c>
    </row>
    <row r="162" spans="1:30" x14ac:dyDescent="0.25">
      <c r="A162">
        <v>78</v>
      </c>
      <c r="B162">
        <v>2623</v>
      </c>
      <c r="C162" t="s">
        <v>412</v>
      </c>
      <c r="D162" t="s">
        <v>142</v>
      </c>
      <c r="E162" t="s">
        <v>352</v>
      </c>
      <c r="F162" t="s">
        <v>413</v>
      </c>
      <c r="G162" t="str">
        <f>"201504002314"</f>
        <v>201504002314</v>
      </c>
      <c r="H162" t="s">
        <v>414</v>
      </c>
      <c r="I162">
        <v>0</v>
      </c>
      <c r="J162">
        <v>0</v>
      </c>
      <c r="K162">
        <v>0</v>
      </c>
      <c r="L162">
        <v>260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60</v>
      </c>
      <c r="W162">
        <v>420</v>
      </c>
      <c r="X162">
        <v>0</v>
      </c>
      <c r="Z162">
        <v>0</v>
      </c>
      <c r="AA162">
        <v>0</v>
      </c>
      <c r="AB162">
        <v>24</v>
      </c>
      <c r="AC162">
        <v>408</v>
      </c>
      <c r="AD162" t="s">
        <v>415</v>
      </c>
    </row>
    <row r="163" spans="1:30" x14ac:dyDescent="0.25">
      <c r="H163" t="s">
        <v>416</v>
      </c>
    </row>
    <row r="164" spans="1:30" x14ac:dyDescent="0.25">
      <c r="A164">
        <v>79</v>
      </c>
      <c r="B164">
        <v>166</v>
      </c>
      <c r="C164" t="s">
        <v>417</v>
      </c>
      <c r="D164" t="s">
        <v>119</v>
      </c>
      <c r="E164" t="s">
        <v>203</v>
      </c>
      <c r="F164" t="s">
        <v>418</v>
      </c>
      <c r="G164" t="str">
        <f>"201504002401"</f>
        <v>201504002401</v>
      </c>
      <c r="H164" t="s">
        <v>419</v>
      </c>
      <c r="I164">
        <v>0</v>
      </c>
      <c r="J164">
        <v>0</v>
      </c>
      <c r="K164">
        <v>0</v>
      </c>
      <c r="L164">
        <v>260</v>
      </c>
      <c r="M164">
        <v>0</v>
      </c>
      <c r="N164">
        <v>70</v>
      </c>
      <c r="O164">
        <v>70</v>
      </c>
      <c r="P164">
        <v>0</v>
      </c>
      <c r="Q164">
        <v>0</v>
      </c>
      <c r="R164">
        <v>70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420</v>
      </c>
    </row>
    <row r="165" spans="1:30" x14ac:dyDescent="0.25">
      <c r="H165" t="s">
        <v>421</v>
      </c>
    </row>
    <row r="166" spans="1:30" x14ac:dyDescent="0.25">
      <c r="A166">
        <v>80</v>
      </c>
      <c r="B166">
        <v>3492</v>
      </c>
      <c r="C166" t="s">
        <v>422</v>
      </c>
      <c r="D166" t="s">
        <v>423</v>
      </c>
      <c r="E166" t="s">
        <v>300</v>
      </c>
      <c r="F166" t="s">
        <v>424</v>
      </c>
      <c r="G166" t="str">
        <f>"00363278"</f>
        <v>00363278</v>
      </c>
      <c r="H166" t="s">
        <v>425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50</v>
      </c>
      <c r="O166">
        <v>50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60</v>
      </c>
      <c r="W166">
        <v>420</v>
      </c>
      <c r="X166">
        <v>0</v>
      </c>
      <c r="Z166">
        <v>0</v>
      </c>
      <c r="AA166">
        <v>0</v>
      </c>
      <c r="AB166">
        <v>24</v>
      </c>
      <c r="AC166">
        <v>408</v>
      </c>
      <c r="AD166" t="s">
        <v>426</v>
      </c>
    </row>
    <row r="167" spans="1:30" x14ac:dyDescent="0.25">
      <c r="H167" t="s">
        <v>427</v>
      </c>
    </row>
    <row r="168" spans="1:30" x14ac:dyDescent="0.25">
      <c r="A168">
        <v>81</v>
      </c>
      <c r="B168">
        <v>2493</v>
      </c>
      <c r="C168" t="s">
        <v>428</v>
      </c>
      <c r="D168" t="s">
        <v>429</v>
      </c>
      <c r="E168" t="s">
        <v>430</v>
      </c>
      <c r="F168" t="s">
        <v>431</v>
      </c>
      <c r="G168" t="str">
        <f>"200801003570"</f>
        <v>200801003570</v>
      </c>
      <c r="H168" t="s">
        <v>425</v>
      </c>
      <c r="I168">
        <v>0</v>
      </c>
      <c r="J168">
        <v>0</v>
      </c>
      <c r="K168">
        <v>0</v>
      </c>
      <c r="L168">
        <v>260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60</v>
      </c>
      <c r="W168">
        <v>420</v>
      </c>
      <c r="X168">
        <v>0</v>
      </c>
      <c r="Z168">
        <v>0</v>
      </c>
      <c r="AA168">
        <v>0</v>
      </c>
      <c r="AB168">
        <v>24</v>
      </c>
      <c r="AC168">
        <v>408</v>
      </c>
      <c r="AD168" t="s">
        <v>432</v>
      </c>
    </row>
    <row r="169" spans="1:30" x14ac:dyDescent="0.25">
      <c r="H169" t="s">
        <v>433</v>
      </c>
    </row>
    <row r="170" spans="1:30" x14ac:dyDescent="0.25">
      <c r="A170">
        <v>82</v>
      </c>
      <c r="B170">
        <v>1588</v>
      </c>
      <c r="C170" t="s">
        <v>434</v>
      </c>
      <c r="D170" t="s">
        <v>293</v>
      </c>
      <c r="E170" t="s">
        <v>435</v>
      </c>
      <c r="F170" t="s">
        <v>436</v>
      </c>
      <c r="G170" t="str">
        <f>"00269573"</f>
        <v>00269573</v>
      </c>
      <c r="H170">
        <v>781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50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60</v>
      </c>
      <c r="W170">
        <v>420</v>
      </c>
      <c r="X170">
        <v>0</v>
      </c>
      <c r="Z170">
        <v>0</v>
      </c>
      <c r="AA170">
        <v>0</v>
      </c>
      <c r="AB170">
        <v>24</v>
      </c>
      <c r="AC170">
        <v>408</v>
      </c>
      <c r="AD170">
        <v>1929</v>
      </c>
    </row>
    <row r="171" spans="1:30" x14ac:dyDescent="0.25">
      <c r="H171" t="s">
        <v>437</v>
      </c>
    </row>
    <row r="172" spans="1:30" x14ac:dyDescent="0.25">
      <c r="A172">
        <v>83</v>
      </c>
      <c r="B172">
        <v>716</v>
      </c>
      <c r="C172" t="s">
        <v>438</v>
      </c>
      <c r="D172" t="s">
        <v>379</v>
      </c>
      <c r="E172" t="s">
        <v>28</v>
      </c>
      <c r="F172" t="s">
        <v>439</v>
      </c>
      <c r="G172" t="str">
        <f>"00140528"</f>
        <v>00140528</v>
      </c>
      <c r="H172" t="s">
        <v>344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50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60</v>
      </c>
      <c r="W172">
        <v>420</v>
      </c>
      <c r="X172">
        <v>0</v>
      </c>
      <c r="Z172">
        <v>0</v>
      </c>
      <c r="AA172">
        <v>0</v>
      </c>
      <c r="AB172">
        <v>24</v>
      </c>
      <c r="AC172">
        <v>408</v>
      </c>
      <c r="AD172" t="s">
        <v>440</v>
      </c>
    </row>
    <row r="173" spans="1:30" x14ac:dyDescent="0.25">
      <c r="H173" t="s">
        <v>441</v>
      </c>
    </row>
    <row r="174" spans="1:30" x14ac:dyDescent="0.25">
      <c r="A174">
        <v>84</v>
      </c>
      <c r="B174">
        <v>3437</v>
      </c>
      <c r="C174" t="s">
        <v>442</v>
      </c>
      <c r="D174" t="s">
        <v>373</v>
      </c>
      <c r="E174" t="s">
        <v>443</v>
      </c>
      <c r="F174" t="s">
        <v>444</v>
      </c>
      <c r="G174" t="str">
        <f>"00028759"</f>
        <v>00028759</v>
      </c>
      <c r="H174" t="s">
        <v>74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50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60</v>
      </c>
      <c r="W174">
        <v>420</v>
      </c>
      <c r="X174">
        <v>0</v>
      </c>
      <c r="Z174">
        <v>0</v>
      </c>
      <c r="AA174">
        <v>0</v>
      </c>
      <c r="AB174">
        <v>24</v>
      </c>
      <c r="AC174">
        <v>408</v>
      </c>
      <c r="AD174" t="s">
        <v>445</v>
      </c>
    </row>
    <row r="175" spans="1:30" x14ac:dyDescent="0.25">
      <c r="H175" t="s">
        <v>446</v>
      </c>
    </row>
    <row r="176" spans="1:30" x14ac:dyDescent="0.25">
      <c r="A176">
        <v>85</v>
      </c>
      <c r="B176">
        <v>3705</v>
      </c>
      <c r="C176" t="s">
        <v>447</v>
      </c>
      <c r="D176" t="s">
        <v>448</v>
      </c>
      <c r="E176" t="s">
        <v>435</v>
      </c>
      <c r="F176" t="s">
        <v>449</v>
      </c>
      <c r="G176" t="str">
        <f>"00015790"</f>
        <v>00015790</v>
      </c>
      <c r="H176" t="s">
        <v>61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0</v>
      </c>
      <c r="P176">
        <v>50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60</v>
      </c>
      <c r="W176">
        <v>420</v>
      </c>
      <c r="X176">
        <v>6</v>
      </c>
      <c r="Y176">
        <v>1080</v>
      </c>
      <c r="Z176">
        <v>0</v>
      </c>
      <c r="AA176">
        <v>0</v>
      </c>
      <c r="AB176">
        <v>24</v>
      </c>
      <c r="AC176">
        <v>408</v>
      </c>
      <c r="AD176" t="s">
        <v>450</v>
      </c>
    </row>
    <row r="177" spans="1:30" x14ac:dyDescent="0.25">
      <c r="H177">
        <v>1080</v>
      </c>
    </row>
    <row r="178" spans="1:30" x14ac:dyDescent="0.25">
      <c r="A178">
        <v>86</v>
      </c>
      <c r="B178">
        <v>4042</v>
      </c>
      <c r="C178" t="s">
        <v>451</v>
      </c>
      <c r="D178" t="s">
        <v>373</v>
      </c>
      <c r="E178" t="s">
        <v>148</v>
      </c>
      <c r="F178" t="s">
        <v>452</v>
      </c>
      <c r="G178" t="str">
        <f>"201406016145"</f>
        <v>201406016145</v>
      </c>
      <c r="H178" t="s">
        <v>244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30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60</v>
      </c>
      <c r="W178">
        <v>420</v>
      </c>
      <c r="X178">
        <v>0</v>
      </c>
      <c r="Z178">
        <v>1</v>
      </c>
      <c r="AA178">
        <v>0</v>
      </c>
      <c r="AB178">
        <v>24</v>
      </c>
      <c r="AC178">
        <v>408</v>
      </c>
      <c r="AD178" t="s">
        <v>453</v>
      </c>
    </row>
    <row r="179" spans="1:30" x14ac:dyDescent="0.25">
      <c r="H179" t="s">
        <v>454</v>
      </c>
    </row>
    <row r="180" spans="1:30" x14ac:dyDescent="0.25">
      <c r="A180">
        <v>87</v>
      </c>
      <c r="B180">
        <v>1853</v>
      </c>
      <c r="C180" t="s">
        <v>455</v>
      </c>
      <c r="D180" t="s">
        <v>135</v>
      </c>
      <c r="E180" t="s">
        <v>456</v>
      </c>
      <c r="F180" t="s">
        <v>457</v>
      </c>
      <c r="G180" t="str">
        <f>"00029224"</f>
        <v>00029224</v>
      </c>
      <c r="H180" t="s">
        <v>458</v>
      </c>
      <c r="I180">
        <v>0</v>
      </c>
      <c r="J180">
        <v>400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1</v>
      </c>
      <c r="AA180">
        <v>0</v>
      </c>
      <c r="AB180">
        <v>0</v>
      </c>
      <c r="AC180">
        <v>0</v>
      </c>
      <c r="AD180" t="s">
        <v>459</v>
      </c>
    </row>
    <row r="181" spans="1:30" x14ac:dyDescent="0.25">
      <c r="H181" t="s">
        <v>460</v>
      </c>
    </row>
    <row r="182" spans="1:30" x14ac:dyDescent="0.25">
      <c r="A182">
        <v>88</v>
      </c>
      <c r="B182">
        <v>467</v>
      </c>
      <c r="C182" t="s">
        <v>461</v>
      </c>
      <c r="D182" t="s">
        <v>293</v>
      </c>
      <c r="E182" t="s">
        <v>77</v>
      </c>
      <c r="F182" t="s">
        <v>462</v>
      </c>
      <c r="G182" t="str">
        <f>"00020392"</f>
        <v>00020392</v>
      </c>
      <c r="H182" t="s">
        <v>463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50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67</v>
      </c>
      <c r="W182">
        <v>469</v>
      </c>
      <c r="X182">
        <v>0</v>
      </c>
      <c r="Z182">
        <v>0</v>
      </c>
      <c r="AA182">
        <v>0</v>
      </c>
      <c r="AB182">
        <v>17</v>
      </c>
      <c r="AC182">
        <v>289</v>
      </c>
      <c r="AD182" t="s">
        <v>464</v>
      </c>
    </row>
    <row r="183" spans="1:30" x14ac:dyDescent="0.25">
      <c r="H183">
        <v>1079</v>
      </c>
    </row>
    <row r="184" spans="1:30" x14ac:dyDescent="0.25">
      <c r="A184">
        <v>89</v>
      </c>
      <c r="B184">
        <v>2365</v>
      </c>
      <c r="C184" t="s">
        <v>465</v>
      </c>
      <c r="D184" t="s">
        <v>408</v>
      </c>
      <c r="E184" t="s">
        <v>135</v>
      </c>
      <c r="F184" t="s">
        <v>466</v>
      </c>
      <c r="G184" t="str">
        <f>"00019641"</f>
        <v>00019641</v>
      </c>
      <c r="H184">
        <v>880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66</v>
      </c>
      <c r="W184">
        <v>462</v>
      </c>
      <c r="X184">
        <v>0</v>
      </c>
      <c r="Z184">
        <v>0</v>
      </c>
      <c r="AA184">
        <v>0</v>
      </c>
      <c r="AB184">
        <v>18</v>
      </c>
      <c r="AC184">
        <v>306</v>
      </c>
      <c r="AD184">
        <v>1918</v>
      </c>
    </row>
    <row r="185" spans="1:30" x14ac:dyDescent="0.25">
      <c r="H185" t="s">
        <v>467</v>
      </c>
    </row>
    <row r="186" spans="1:30" x14ac:dyDescent="0.25">
      <c r="A186">
        <v>90</v>
      </c>
      <c r="B186">
        <v>3065</v>
      </c>
      <c r="C186" t="s">
        <v>468</v>
      </c>
      <c r="D186" t="s">
        <v>469</v>
      </c>
      <c r="E186" t="s">
        <v>42</v>
      </c>
      <c r="F186" t="s">
        <v>470</v>
      </c>
      <c r="G186" t="str">
        <f>"201406013441"</f>
        <v>201406013441</v>
      </c>
      <c r="H186" t="s">
        <v>115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30</v>
      </c>
      <c r="O186">
        <v>0</v>
      </c>
      <c r="P186">
        <v>0</v>
      </c>
      <c r="Q186">
        <v>30</v>
      </c>
      <c r="R186">
        <v>0</v>
      </c>
      <c r="S186">
        <v>0</v>
      </c>
      <c r="T186">
        <v>0</v>
      </c>
      <c r="U186">
        <v>0</v>
      </c>
      <c r="V186">
        <v>60</v>
      </c>
      <c r="W186">
        <v>420</v>
      </c>
      <c r="X186">
        <v>6</v>
      </c>
      <c r="Y186">
        <v>1080</v>
      </c>
      <c r="Z186">
        <v>0</v>
      </c>
      <c r="AA186">
        <v>0</v>
      </c>
      <c r="AB186">
        <v>24</v>
      </c>
      <c r="AC186">
        <v>408</v>
      </c>
      <c r="AD186" t="s">
        <v>471</v>
      </c>
    </row>
    <row r="187" spans="1:30" x14ac:dyDescent="0.25">
      <c r="H187">
        <v>1080</v>
      </c>
    </row>
    <row r="188" spans="1:30" x14ac:dyDescent="0.25">
      <c r="A188">
        <v>91</v>
      </c>
      <c r="B188">
        <v>5085</v>
      </c>
      <c r="C188" t="s">
        <v>472</v>
      </c>
      <c r="D188" t="s">
        <v>373</v>
      </c>
      <c r="E188" t="s">
        <v>473</v>
      </c>
      <c r="F188" t="s">
        <v>474</v>
      </c>
      <c r="G188" t="str">
        <f>"00369439"</f>
        <v>00369439</v>
      </c>
      <c r="H188" t="s">
        <v>74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30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60</v>
      </c>
      <c r="W188">
        <v>420</v>
      </c>
      <c r="X188">
        <v>0</v>
      </c>
      <c r="Z188">
        <v>0</v>
      </c>
      <c r="AA188">
        <v>0</v>
      </c>
      <c r="AB188">
        <v>24</v>
      </c>
      <c r="AC188">
        <v>408</v>
      </c>
      <c r="AD188" t="s">
        <v>475</v>
      </c>
    </row>
    <row r="189" spans="1:30" x14ac:dyDescent="0.25">
      <c r="H189" t="s">
        <v>476</v>
      </c>
    </row>
    <row r="190" spans="1:30" x14ac:dyDescent="0.25">
      <c r="A190">
        <v>92</v>
      </c>
      <c r="B190">
        <v>98</v>
      </c>
      <c r="C190" t="s">
        <v>477</v>
      </c>
      <c r="D190" t="s">
        <v>14</v>
      </c>
      <c r="E190" t="s">
        <v>158</v>
      </c>
      <c r="F190" t="s">
        <v>478</v>
      </c>
      <c r="G190" t="str">
        <f>"00018847"</f>
        <v>00018847</v>
      </c>
      <c r="H190" t="s">
        <v>479</v>
      </c>
      <c r="I190">
        <v>0</v>
      </c>
      <c r="J190">
        <v>0</v>
      </c>
      <c r="K190">
        <v>0</v>
      </c>
      <c r="L190">
        <v>260</v>
      </c>
      <c r="M190">
        <v>0</v>
      </c>
      <c r="N190">
        <v>70</v>
      </c>
      <c r="O190">
        <v>0</v>
      </c>
      <c r="P190">
        <v>30</v>
      </c>
      <c r="Q190">
        <v>50</v>
      </c>
      <c r="R190">
        <v>30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480</v>
      </c>
    </row>
    <row r="191" spans="1:30" x14ac:dyDescent="0.25">
      <c r="H191">
        <v>1073</v>
      </c>
    </row>
    <row r="192" spans="1:30" x14ac:dyDescent="0.25">
      <c r="A192">
        <v>93</v>
      </c>
      <c r="B192">
        <v>2378</v>
      </c>
      <c r="C192" t="s">
        <v>481</v>
      </c>
      <c r="D192" t="s">
        <v>102</v>
      </c>
      <c r="E192" t="s">
        <v>363</v>
      </c>
      <c r="F192" t="s">
        <v>482</v>
      </c>
      <c r="G192" t="str">
        <f>"201402005622"</f>
        <v>201402005622</v>
      </c>
      <c r="H192" t="s">
        <v>483</v>
      </c>
      <c r="I192">
        <v>0</v>
      </c>
      <c r="J192">
        <v>0</v>
      </c>
      <c r="K192">
        <v>0</v>
      </c>
      <c r="L192">
        <v>0</v>
      </c>
      <c r="M192">
        <v>100</v>
      </c>
      <c r="N192">
        <v>70</v>
      </c>
      <c r="O192">
        <v>70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60</v>
      </c>
      <c r="W192">
        <v>420</v>
      </c>
      <c r="X192">
        <v>0</v>
      </c>
      <c r="Z192">
        <v>0</v>
      </c>
      <c r="AA192">
        <v>0</v>
      </c>
      <c r="AB192">
        <v>24</v>
      </c>
      <c r="AC192">
        <v>408</v>
      </c>
      <c r="AD192" t="s">
        <v>484</v>
      </c>
    </row>
    <row r="193" spans="1:30" x14ac:dyDescent="0.25">
      <c r="H193" t="s">
        <v>485</v>
      </c>
    </row>
    <row r="194" spans="1:30" x14ac:dyDescent="0.25">
      <c r="A194">
        <v>94</v>
      </c>
      <c r="B194">
        <v>3410</v>
      </c>
      <c r="C194" t="s">
        <v>486</v>
      </c>
      <c r="D194" t="s">
        <v>135</v>
      </c>
      <c r="E194" t="s">
        <v>103</v>
      </c>
      <c r="F194" t="s">
        <v>487</v>
      </c>
      <c r="G194" t="str">
        <f>"00363468"</f>
        <v>00363468</v>
      </c>
      <c r="H194" t="s">
        <v>138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60</v>
      </c>
      <c r="W194">
        <v>420</v>
      </c>
      <c r="X194">
        <v>0</v>
      </c>
      <c r="Z194">
        <v>0</v>
      </c>
      <c r="AA194">
        <v>0</v>
      </c>
      <c r="AB194">
        <v>24</v>
      </c>
      <c r="AC194">
        <v>408</v>
      </c>
      <c r="AD194" t="s">
        <v>488</v>
      </c>
    </row>
    <row r="195" spans="1:30" x14ac:dyDescent="0.25">
      <c r="H195" t="s">
        <v>489</v>
      </c>
    </row>
    <row r="196" spans="1:30" x14ac:dyDescent="0.25">
      <c r="A196">
        <v>95</v>
      </c>
      <c r="B196">
        <v>909</v>
      </c>
      <c r="C196" t="s">
        <v>490</v>
      </c>
      <c r="D196" t="s">
        <v>225</v>
      </c>
      <c r="E196" t="s">
        <v>59</v>
      </c>
      <c r="F196" t="s">
        <v>491</v>
      </c>
      <c r="G196" t="str">
        <f>"00297642"</f>
        <v>00297642</v>
      </c>
      <c r="H196" t="s">
        <v>492</v>
      </c>
      <c r="I196">
        <v>0</v>
      </c>
      <c r="J196">
        <v>0</v>
      </c>
      <c r="K196">
        <v>0</v>
      </c>
      <c r="L196">
        <v>200</v>
      </c>
      <c r="M196">
        <v>30</v>
      </c>
      <c r="N196">
        <v>70</v>
      </c>
      <c r="O196">
        <v>0</v>
      </c>
      <c r="P196">
        <v>30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60</v>
      </c>
      <c r="W196">
        <v>420</v>
      </c>
      <c r="X196">
        <v>0</v>
      </c>
      <c r="Z196">
        <v>0</v>
      </c>
      <c r="AA196">
        <v>0</v>
      </c>
      <c r="AB196">
        <v>24</v>
      </c>
      <c r="AC196">
        <v>408</v>
      </c>
      <c r="AD196" t="s">
        <v>493</v>
      </c>
    </row>
    <row r="197" spans="1:30" x14ac:dyDescent="0.25">
      <c r="H197" t="s">
        <v>494</v>
      </c>
    </row>
    <row r="198" spans="1:30" x14ac:dyDescent="0.25">
      <c r="A198">
        <v>96</v>
      </c>
      <c r="B198">
        <v>4847</v>
      </c>
      <c r="C198" t="s">
        <v>495</v>
      </c>
      <c r="D198" t="s">
        <v>496</v>
      </c>
      <c r="E198" t="s">
        <v>66</v>
      </c>
      <c r="F198" t="s">
        <v>497</v>
      </c>
      <c r="G198" t="str">
        <f>"201410012818"</f>
        <v>201410012818</v>
      </c>
      <c r="H198" t="s">
        <v>498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30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60</v>
      </c>
      <c r="W198">
        <v>420</v>
      </c>
      <c r="X198">
        <v>0</v>
      </c>
      <c r="Z198">
        <v>0</v>
      </c>
      <c r="AA198">
        <v>0</v>
      </c>
      <c r="AB198">
        <v>24</v>
      </c>
      <c r="AC198">
        <v>408</v>
      </c>
      <c r="AD198" t="s">
        <v>499</v>
      </c>
    </row>
    <row r="199" spans="1:30" x14ac:dyDescent="0.25">
      <c r="H199" t="s">
        <v>500</v>
      </c>
    </row>
    <row r="200" spans="1:30" x14ac:dyDescent="0.25">
      <c r="A200">
        <v>97</v>
      </c>
      <c r="B200">
        <v>123</v>
      </c>
      <c r="C200" t="s">
        <v>501</v>
      </c>
      <c r="D200" t="s">
        <v>42</v>
      </c>
      <c r="E200" t="s">
        <v>59</v>
      </c>
      <c r="F200" t="s">
        <v>502</v>
      </c>
      <c r="G200" t="str">
        <f>"201401001180"</f>
        <v>201401001180</v>
      </c>
      <c r="H200" t="s">
        <v>414</v>
      </c>
      <c r="I200">
        <v>0</v>
      </c>
      <c r="J200">
        <v>0</v>
      </c>
      <c r="K200">
        <v>0</v>
      </c>
      <c r="L200">
        <v>200</v>
      </c>
      <c r="M200">
        <v>30</v>
      </c>
      <c r="N200">
        <v>30</v>
      </c>
      <c r="O200">
        <v>0</v>
      </c>
      <c r="P200">
        <v>0</v>
      </c>
      <c r="Q200">
        <v>30</v>
      </c>
      <c r="R200">
        <v>0</v>
      </c>
      <c r="S200">
        <v>0</v>
      </c>
      <c r="T200">
        <v>0</v>
      </c>
      <c r="U200">
        <v>0</v>
      </c>
      <c r="V200">
        <v>60</v>
      </c>
      <c r="W200">
        <v>420</v>
      </c>
      <c r="X200">
        <v>0</v>
      </c>
      <c r="Z200">
        <v>0</v>
      </c>
      <c r="AA200">
        <v>0</v>
      </c>
      <c r="AB200">
        <v>24</v>
      </c>
      <c r="AC200">
        <v>408</v>
      </c>
      <c r="AD200" t="s">
        <v>503</v>
      </c>
    </row>
    <row r="201" spans="1:30" x14ac:dyDescent="0.25">
      <c r="H201" t="s">
        <v>504</v>
      </c>
    </row>
    <row r="202" spans="1:30" x14ac:dyDescent="0.25">
      <c r="A202">
        <v>98</v>
      </c>
      <c r="B202">
        <v>1160</v>
      </c>
      <c r="C202" t="s">
        <v>505</v>
      </c>
      <c r="D202" t="s">
        <v>272</v>
      </c>
      <c r="E202" t="s">
        <v>506</v>
      </c>
      <c r="F202" t="s">
        <v>507</v>
      </c>
      <c r="G202" t="str">
        <f>"201503000517"</f>
        <v>201503000517</v>
      </c>
      <c r="H202" t="s">
        <v>79</v>
      </c>
      <c r="I202">
        <v>0</v>
      </c>
      <c r="J202">
        <v>0</v>
      </c>
      <c r="K202">
        <v>0</v>
      </c>
      <c r="L202">
        <v>260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60</v>
      </c>
      <c r="W202">
        <v>420</v>
      </c>
      <c r="X202">
        <v>0</v>
      </c>
      <c r="Z202">
        <v>0</v>
      </c>
      <c r="AA202">
        <v>0</v>
      </c>
      <c r="AB202">
        <v>24</v>
      </c>
      <c r="AC202">
        <v>408</v>
      </c>
      <c r="AD202" t="s">
        <v>508</v>
      </c>
    </row>
    <row r="203" spans="1:30" x14ac:dyDescent="0.25">
      <c r="H203" t="s">
        <v>509</v>
      </c>
    </row>
    <row r="204" spans="1:30" x14ac:dyDescent="0.25">
      <c r="A204">
        <v>99</v>
      </c>
      <c r="B204">
        <v>3490</v>
      </c>
      <c r="C204" t="s">
        <v>510</v>
      </c>
      <c r="D204" t="s">
        <v>373</v>
      </c>
      <c r="E204" t="s">
        <v>59</v>
      </c>
      <c r="F204" t="s">
        <v>511</v>
      </c>
      <c r="G204" t="str">
        <f>"00026833"</f>
        <v>00026833</v>
      </c>
      <c r="H204" t="s">
        <v>348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50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60</v>
      </c>
      <c r="W204">
        <v>420</v>
      </c>
      <c r="X204">
        <v>0</v>
      </c>
      <c r="Z204">
        <v>0</v>
      </c>
      <c r="AA204">
        <v>0</v>
      </c>
      <c r="AB204">
        <v>24</v>
      </c>
      <c r="AC204">
        <v>408</v>
      </c>
      <c r="AD204" t="s">
        <v>512</v>
      </c>
    </row>
    <row r="205" spans="1:30" x14ac:dyDescent="0.25">
      <c r="H205" t="s">
        <v>513</v>
      </c>
    </row>
    <row r="206" spans="1:30" x14ac:dyDescent="0.25">
      <c r="A206">
        <v>100</v>
      </c>
      <c r="B206">
        <v>1385</v>
      </c>
      <c r="C206" t="s">
        <v>514</v>
      </c>
      <c r="D206" t="s">
        <v>142</v>
      </c>
      <c r="E206" t="s">
        <v>515</v>
      </c>
      <c r="F206" t="s">
        <v>516</v>
      </c>
      <c r="G206" t="str">
        <f>"201103000137"</f>
        <v>201103000137</v>
      </c>
      <c r="H206" t="s">
        <v>248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60</v>
      </c>
      <c r="W206">
        <v>420</v>
      </c>
      <c r="X206">
        <v>0</v>
      </c>
      <c r="Z206">
        <v>0</v>
      </c>
      <c r="AA206">
        <v>0</v>
      </c>
      <c r="AB206">
        <v>24</v>
      </c>
      <c r="AC206">
        <v>408</v>
      </c>
      <c r="AD206" t="s">
        <v>517</v>
      </c>
    </row>
    <row r="207" spans="1:30" x14ac:dyDescent="0.25">
      <c r="H207" t="s">
        <v>518</v>
      </c>
    </row>
    <row r="208" spans="1:30" x14ac:dyDescent="0.25">
      <c r="A208">
        <v>101</v>
      </c>
      <c r="B208">
        <v>1240</v>
      </c>
      <c r="C208" t="s">
        <v>519</v>
      </c>
      <c r="D208" t="s">
        <v>520</v>
      </c>
      <c r="E208" t="s">
        <v>521</v>
      </c>
      <c r="F208" t="s">
        <v>522</v>
      </c>
      <c r="G208" t="str">
        <f>"201511042954"</f>
        <v>201511042954</v>
      </c>
      <c r="H208" t="s">
        <v>138</v>
      </c>
      <c r="I208">
        <v>150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50</v>
      </c>
      <c r="P208">
        <v>0</v>
      </c>
      <c r="Q208">
        <v>0</v>
      </c>
      <c r="R208">
        <v>30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523</v>
      </c>
    </row>
    <row r="209" spans="1:30" x14ac:dyDescent="0.25">
      <c r="H209" t="s">
        <v>524</v>
      </c>
    </row>
    <row r="210" spans="1:30" x14ac:dyDescent="0.25">
      <c r="A210">
        <v>102</v>
      </c>
      <c r="B210">
        <v>3300</v>
      </c>
      <c r="C210" t="s">
        <v>525</v>
      </c>
      <c r="D210" t="s">
        <v>35</v>
      </c>
      <c r="E210" t="s">
        <v>408</v>
      </c>
      <c r="F210" t="s">
        <v>526</v>
      </c>
      <c r="G210" t="str">
        <f>"200801009408"</f>
        <v>200801009408</v>
      </c>
      <c r="H210" t="s">
        <v>527</v>
      </c>
      <c r="I210">
        <v>0</v>
      </c>
      <c r="J210">
        <v>0</v>
      </c>
      <c r="K210">
        <v>0</v>
      </c>
      <c r="L210">
        <v>260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30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6</v>
      </c>
      <c r="Y210">
        <v>1084</v>
      </c>
      <c r="Z210">
        <v>0</v>
      </c>
      <c r="AA210">
        <v>0</v>
      </c>
      <c r="AB210">
        <v>0</v>
      </c>
      <c r="AC210">
        <v>0</v>
      </c>
      <c r="AD210" t="s">
        <v>528</v>
      </c>
    </row>
    <row r="211" spans="1:30" x14ac:dyDescent="0.25">
      <c r="H211">
        <v>1084</v>
      </c>
    </row>
    <row r="212" spans="1:30" x14ac:dyDescent="0.25">
      <c r="A212">
        <v>103</v>
      </c>
      <c r="B212">
        <v>1758</v>
      </c>
      <c r="C212" t="s">
        <v>529</v>
      </c>
      <c r="D212" t="s">
        <v>197</v>
      </c>
      <c r="E212" t="s">
        <v>148</v>
      </c>
      <c r="F212" t="s">
        <v>530</v>
      </c>
      <c r="G212" t="str">
        <f>"00319907"</f>
        <v>00319907</v>
      </c>
      <c r="H212" t="s">
        <v>414</v>
      </c>
      <c r="I212">
        <v>0</v>
      </c>
      <c r="J212">
        <v>0</v>
      </c>
      <c r="K212">
        <v>0</v>
      </c>
      <c r="L212">
        <v>260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52</v>
      </c>
      <c r="W212">
        <v>364</v>
      </c>
      <c r="X212">
        <v>6</v>
      </c>
      <c r="Y212">
        <v>1080</v>
      </c>
      <c r="Z212">
        <v>0</v>
      </c>
      <c r="AA212">
        <v>0</v>
      </c>
      <c r="AB212">
        <v>24</v>
      </c>
      <c r="AC212">
        <v>408</v>
      </c>
      <c r="AD212" t="s">
        <v>531</v>
      </c>
    </row>
    <row r="213" spans="1:30" x14ac:dyDescent="0.25">
      <c r="H213" t="s">
        <v>532</v>
      </c>
    </row>
    <row r="214" spans="1:30" x14ac:dyDescent="0.25">
      <c r="A214">
        <v>104</v>
      </c>
      <c r="B214">
        <v>1758</v>
      </c>
      <c r="C214" t="s">
        <v>529</v>
      </c>
      <c r="D214" t="s">
        <v>197</v>
      </c>
      <c r="E214" t="s">
        <v>148</v>
      </c>
      <c r="F214" t="s">
        <v>530</v>
      </c>
      <c r="G214" t="str">
        <f>"00319907"</f>
        <v>00319907</v>
      </c>
      <c r="H214" t="s">
        <v>414</v>
      </c>
      <c r="I214">
        <v>0</v>
      </c>
      <c r="J214">
        <v>0</v>
      </c>
      <c r="K214">
        <v>0</v>
      </c>
      <c r="L214">
        <v>260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52</v>
      </c>
      <c r="W214">
        <v>364</v>
      </c>
      <c r="X214">
        <v>0</v>
      </c>
      <c r="Z214">
        <v>0</v>
      </c>
      <c r="AA214">
        <v>0</v>
      </c>
      <c r="AB214">
        <v>24</v>
      </c>
      <c r="AC214">
        <v>408</v>
      </c>
      <c r="AD214" t="s">
        <v>531</v>
      </c>
    </row>
    <row r="215" spans="1:30" x14ac:dyDescent="0.25">
      <c r="H215" t="s">
        <v>532</v>
      </c>
    </row>
    <row r="216" spans="1:30" x14ac:dyDescent="0.25">
      <c r="A216">
        <v>105</v>
      </c>
      <c r="B216">
        <v>3565</v>
      </c>
      <c r="C216" t="s">
        <v>533</v>
      </c>
      <c r="D216" t="s">
        <v>357</v>
      </c>
      <c r="E216" t="s">
        <v>42</v>
      </c>
      <c r="F216" t="s">
        <v>534</v>
      </c>
      <c r="G216" t="str">
        <f>"201402011732"</f>
        <v>201402011732</v>
      </c>
      <c r="H216" t="s">
        <v>535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50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72</v>
      </c>
      <c r="W216">
        <v>504</v>
      </c>
      <c r="X216">
        <v>0</v>
      </c>
      <c r="Z216">
        <v>0</v>
      </c>
      <c r="AA216">
        <v>0</v>
      </c>
      <c r="AB216">
        <v>12</v>
      </c>
      <c r="AC216">
        <v>204</v>
      </c>
      <c r="AD216" t="s">
        <v>536</v>
      </c>
    </row>
    <row r="217" spans="1:30" x14ac:dyDescent="0.25">
      <c r="H217" t="s">
        <v>537</v>
      </c>
    </row>
    <row r="218" spans="1:30" x14ac:dyDescent="0.25">
      <c r="A218">
        <v>106</v>
      </c>
      <c r="B218">
        <v>5282</v>
      </c>
      <c r="C218" t="s">
        <v>538</v>
      </c>
      <c r="D218" t="s">
        <v>539</v>
      </c>
      <c r="E218" t="s">
        <v>136</v>
      </c>
      <c r="F218" t="s">
        <v>540</v>
      </c>
      <c r="G218" t="str">
        <f>"00356934"</f>
        <v>00356934</v>
      </c>
      <c r="H218" t="s">
        <v>541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0</v>
      </c>
      <c r="Q218">
        <v>50</v>
      </c>
      <c r="R218">
        <v>0</v>
      </c>
      <c r="S218">
        <v>0</v>
      </c>
      <c r="T218">
        <v>0</v>
      </c>
      <c r="U218">
        <v>0</v>
      </c>
      <c r="V218">
        <v>67</v>
      </c>
      <c r="W218">
        <v>469</v>
      </c>
      <c r="X218">
        <v>0</v>
      </c>
      <c r="Z218">
        <v>0</v>
      </c>
      <c r="AA218">
        <v>0</v>
      </c>
      <c r="AB218">
        <v>17</v>
      </c>
      <c r="AC218">
        <v>289</v>
      </c>
      <c r="AD218" t="s">
        <v>542</v>
      </c>
    </row>
    <row r="219" spans="1:30" x14ac:dyDescent="0.25">
      <c r="H219" t="s">
        <v>543</v>
      </c>
    </row>
    <row r="220" spans="1:30" x14ac:dyDescent="0.25">
      <c r="A220">
        <v>107</v>
      </c>
      <c r="B220">
        <v>4127</v>
      </c>
      <c r="C220" t="s">
        <v>544</v>
      </c>
      <c r="D220" t="s">
        <v>135</v>
      </c>
      <c r="E220" t="s">
        <v>225</v>
      </c>
      <c r="F220" t="s">
        <v>545</v>
      </c>
      <c r="G220" t="str">
        <f>"00303575"</f>
        <v>00303575</v>
      </c>
      <c r="H220" t="s">
        <v>546</v>
      </c>
      <c r="I220">
        <v>150</v>
      </c>
      <c r="J220">
        <v>0</v>
      </c>
      <c r="K220">
        <v>0</v>
      </c>
      <c r="L220">
        <v>200</v>
      </c>
      <c r="M220">
        <v>30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547</v>
      </c>
    </row>
    <row r="221" spans="1:30" x14ac:dyDescent="0.25">
      <c r="H221" t="s">
        <v>548</v>
      </c>
    </row>
    <row r="222" spans="1:30" x14ac:dyDescent="0.25">
      <c r="A222">
        <v>108</v>
      </c>
      <c r="B222">
        <v>634</v>
      </c>
      <c r="C222" t="s">
        <v>549</v>
      </c>
      <c r="D222" t="s">
        <v>225</v>
      </c>
      <c r="E222" t="s">
        <v>550</v>
      </c>
      <c r="F222" t="s">
        <v>551</v>
      </c>
      <c r="G222" t="str">
        <f>"200712006148"</f>
        <v>200712006148</v>
      </c>
      <c r="H222" t="s">
        <v>552</v>
      </c>
      <c r="I222">
        <v>0</v>
      </c>
      <c r="J222">
        <v>0</v>
      </c>
      <c r="K222">
        <v>0</v>
      </c>
      <c r="L222">
        <v>260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60</v>
      </c>
      <c r="W222">
        <v>420</v>
      </c>
      <c r="X222">
        <v>0</v>
      </c>
      <c r="Z222">
        <v>0</v>
      </c>
      <c r="AA222">
        <v>0</v>
      </c>
      <c r="AB222">
        <v>24</v>
      </c>
      <c r="AC222">
        <v>408</v>
      </c>
      <c r="AD222" t="s">
        <v>553</v>
      </c>
    </row>
    <row r="223" spans="1:30" x14ac:dyDescent="0.25">
      <c r="H223" t="s">
        <v>554</v>
      </c>
    </row>
    <row r="224" spans="1:30" x14ac:dyDescent="0.25">
      <c r="A224">
        <v>109</v>
      </c>
      <c r="B224">
        <v>1600</v>
      </c>
      <c r="C224" t="s">
        <v>555</v>
      </c>
      <c r="D224" t="s">
        <v>556</v>
      </c>
      <c r="E224" t="s">
        <v>300</v>
      </c>
      <c r="F224" t="s">
        <v>557</v>
      </c>
      <c r="G224" t="str">
        <f>"00320564"</f>
        <v>00320564</v>
      </c>
      <c r="H224" t="s">
        <v>558</v>
      </c>
      <c r="I224">
        <v>0</v>
      </c>
      <c r="J224">
        <v>0</v>
      </c>
      <c r="K224">
        <v>0</v>
      </c>
      <c r="L224">
        <v>200</v>
      </c>
      <c r="M224">
        <v>30</v>
      </c>
      <c r="N224">
        <v>70</v>
      </c>
      <c r="O224">
        <v>0</v>
      </c>
      <c r="P224">
        <v>0</v>
      </c>
      <c r="Q224">
        <v>70</v>
      </c>
      <c r="R224">
        <v>0</v>
      </c>
      <c r="S224">
        <v>0</v>
      </c>
      <c r="T224">
        <v>0</v>
      </c>
      <c r="U224">
        <v>0</v>
      </c>
      <c r="V224">
        <v>72</v>
      </c>
      <c r="W224">
        <v>504</v>
      </c>
      <c r="X224">
        <v>0</v>
      </c>
      <c r="Z224">
        <v>0</v>
      </c>
      <c r="AA224">
        <v>0</v>
      </c>
      <c r="AB224">
        <v>12</v>
      </c>
      <c r="AC224">
        <v>204</v>
      </c>
      <c r="AD224" t="s">
        <v>559</v>
      </c>
    </row>
    <row r="225" spans="1:30" x14ac:dyDescent="0.25">
      <c r="H225" t="s">
        <v>560</v>
      </c>
    </row>
    <row r="226" spans="1:30" x14ac:dyDescent="0.25">
      <c r="A226">
        <v>110</v>
      </c>
      <c r="B226">
        <v>1579</v>
      </c>
      <c r="C226" t="s">
        <v>561</v>
      </c>
      <c r="D226" t="s">
        <v>562</v>
      </c>
      <c r="E226" t="s">
        <v>135</v>
      </c>
      <c r="F226" t="s">
        <v>563</v>
      </c>
      <c r="G226" t="str">
        <f>"00018581"</f>
        <v>00018581</v>
      </c>
      <c r="H226" t="s">
        <v>74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60</v>
      </c>
      <c r="W226">
        <v>420</v>
      </c>
      <c r="X226">
        <v>0</v>
      </c>
      <c r="Z226">
        <v>0</v>
      </c>
      <c r="AA226">
        <v>0</v>
      </c>
      <c r="AB226">
        <v>24</v>
      </c>
      <c r="AC226">
        <v>408</v>
      </c>
      <c r="AD226" t="s">
        <v>564</v>
      </c>
    </row>
    <row r="227" spans="1:30" x14ac:dyDescent="0.25">
      <c r="H227" t="s">
        <v>565</v>
      </c>
    </row>
    <row r="228" spans="1:30" x14ac:dyDescent="0.25">
      <c r="A228">
        <v>111</v>
      </c>
      <c r="B228">
        <v>3793</v>
      </c>
      <c r="C228" t="s">
        <v>566</v>
      </c>
      <c r="D228" t="s">
        <v>203</v>
      </c>
      <c r="E228" t="s">
        <v>28</v>
      </c>
      <c r="F228" t="s">
        <v>567</v>
      </c>
      <c r="G228" t="str">
        <f>"00253821"</f>
        <v>00253821</v>
      </c>
      <c r="H228" t="s">
        <v>359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60</v>
      </c>
      <c r="W228">
        <v>420</v>
      </c>
      <c r="X228">
        <v>0</v>
      </c>
      <c r="Z228">
        <v>0</v>
      </c>
      <c r="AA228">
        <v>0</v>
      </c>
      <c r="AB228">
        <v>24</v>
      </c>
      <c r="AC228">
        <v>408</v>
      </c>
      <c r="AD228" t="s">
        <v>568</v>
      </c>
    </row>
    <row r="229" spans="1:30" x14ac:dyDescent="0.25">
      <c r="H229" t="s">
        <v>569</v>
      </c>
    </row>
    <row r="230" spans="1:30" x14ac:dyDescent="0.25">
      <c r="A230">
        <v>112</v>
      </c>
      <c r="B230">
        <v>4695</v>
      </c>
      <c r="C230" t="s">
        <v>570</v>
      </c>
      <c r="D230" t="s">
        <v>72</v>
      </c>
      <c r="E230" t="s">
        <v>22</v>
      </c>
      <c r="F230" t="s">
        <v>571</v>
      </c>
      <c r="G230" t="str">
        <f>"00367564"</f>
        <v>00367564</v>
      </c>
      <c r="H230" t="s">
        <v>572</v>
      </c>
      <c r="I230">
        <v>150</v>
      </c>
      <c r="J230">
        <v>0</v>
      </c>
      <c r="K230">
        <v>0</v>
      </c>
      <c r="L230">
        <v>0</v>
      </c>
      <c r="M230">
        <v>100</v>
      </c>
      <c r="N230">
        <v>30</v>
      </c>
      <c r="O230">
        <v>0</v>
      </c>
      <c r="P230">
        <v>0</v>
      </c>
      <c r="Q230">
        <v>70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573</v>
      </c>
    </row>
    <row r="231" spans="1:30" x14ac:dyDescent="0.25">
      <c r="H231" t="s">
        <v>574</v>
      </c>
    </row>
    <row r="232" spans="1:30" x14ac:dyDescent="0.25">
      <c r="A232">
        <v>113</v>
      </c>
      <c r="B232">
        <v>1442</v>
      </c>
      <c r="C232" t="s">
        <v>575</v>
      </c>
      <c r="D232" t="s">
        <v>14</v>
      </c>
      <c r="E232" t="s">
        <v>576</v>
      </c>
      <c r="F232" t="s">
        <v>577</v>
      </c>
      <c r="G232" t="str">
        <f>"00316400"</f>
        <v>00316400</v>
      </c>
      <c r="H232">
        <v>825</v>
      </c>
      <c r="I232">
        <v>150</v>
      </c>
      <c r="J232">
        <v>0</v>
      </c>
      <c r="K232">
        <v>0</v>
      </c>
      <c r="L232">
        <v>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60</v>
      </c>
      <c r="W232">
        <v>420</v>
      </c>
      <c r="X232">
        <v>6</v>
      </c>
      <c r="Y232">
        <v>1084</v>
      </c>
      <c r="Z232">
        <v>0</v>
      </c>
      <c r="AA232">
        <v>0</v>
      </c>
      <c r="AB232">
        <v>24</v>
      </c>
      <c r="AC232">
        <v>408</v>
      </c>
      <c r="AD232">
        <v>1873</v>
      </c>
    </row>
    <row r="233" spans="1:30" x14ac:dyDescent="0.25">
      <c r="H233">
        <v>1084</v>
      </c>
    </row>
    <row r="234" spans="1:30" x14ac:dyDescent="0.25">
      <c r="A234">
        <v>114</v>
      </c>
      <c r="B234">
        <v>4237</v>
      </c>
      <c r="C234" t="s">
        <v>578</v>
      </c>
      <c r="D234" t="s">
        <v>496</v>
      </c>
      <c r="E234" t="s">
        <v>579</v>
      </c>
      <c r="F234" t="s">
        <v>580</v>
      </c>
      <c r="G234" t="str">
        <f>"200807000595"</f>
        <v>200807000595</v>
      </c>
      <c r="H234">
        <v>814</v>
      </c>
      <c r="I234">
        <v>150</v>
      </c>
      <c r="J234">
        <v>0</v>
      </c>
      <c r="K234">
        <v>0</v>
      </c>
      <c r="L234">
        <v>200</v>
      </c>
      <c r="M234">
        <v>0</v>
      </c>
      <c r="N234">
        <v>70</v>
      </c>
      <c r="O234">
        <v>0</v>
      </c>
      <c r="P234">
        <v>50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1872</v>
      </c>
    </row>
    <row r="235" spans="1:30" x14ac:dyDescent="0.25">
      <c r="H235" t="s">
        <v>581</v>
      </c>
    </row>
    <row r="236" spans="1:30" x14ac:dyDescent="0.25">
      <c r="A236">
        <v>115</v>
      </c>
      <c r="B236">
        <v>1492</v>
      </c>
      <c r="C236" t="s">
        <v>582</v>
      </c>
      <c r="D236" t="s">
        <v>583</v>
      </c>
      <c r="E236" t="s">
        <v>584</v>
      </c>
      <c r="F236" t="s">
        <v>585</v>
      </c>
      <c r="G236" t="str">
        <f>"00020050"</f>
        <v>00020050</v>
      </c>
      <c r="H236" t="s">
        <v>17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60</v>
      </c>
      <c r="W236">
        <v>420</v>
      </c>
      <c r="X236">
        <v>0</v>
      </c>
      <c r="Z236">
        <v>0</v>
      </c>
      <c r="AA236">
        <v>0</v>
      </c>
      <c r="AB236">
        <v>24</v>
      </c>
      <c r="AC236">
        <v>408</v>
      </c>
      <c r="AD236" t="s">
        <v>586</v>
      </c>
    </row>
    <row r="237" spans="1:30" x14ac:dyDescent="0.25">
      <c r="H237" t="s">
        <v>587</v>
      </c>
    </row>
    <row r="238" spans="1:30" x14ac:dyDescent="0.25">
      <c r="A238">
        <v>116</v>
      </c>
      <c r="B238">
        <v>5362</v>
      </c>
      <c r="C238" t="s">
        <v>588</v>
      </c>
      <c r="D238" t="s">
        <v>15</v>
      </c>
      <c r="E238" t="s">
        <v>42</v>
      </c>
      <c r="F238" t="s">
        <v>589</v>
      </c>
      <c r="G238" t="str">
        <f>"200804000662"</f>
        <v>200804000662</v>
      </c>
      <c r="H238" t="s">
        <v>138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60</v>
      </c>
      <c r="W238">
        <v>420</v>
      </c>
      <c r="X238">
        <v>0</v>
      </c>
      <c r="Z238">
        <v>0</v>
      </c>
      <c r="AA238">
        <v>0</v>
      </c>
      <c r="AB238">
        <v>24</v>
      </c>
      <c r="AC238">
        <v>408</v>
      </c>
      <c r="AD238" t="s">
        <v>590</v>
      </c>
    </row>
    <row r="239" spans="1:30" x14ac:dyDescent="0.25">
      <c r="H239" t="s">
        <v>591</v>
      </c>
    </row>
    <row r="240" spans="1:30" x14ac:dyDescent="0.25">
      <c r="A240">
        <v>117</v>
      </c>
      <c r="B240">
        <v>3939</v>
      </c>
      <c r="C240" t="s">
        <v>592</v>
      </c>
      <c r="D240" t="s">
        <v>593</v>
      </c>
      <c r="E240" t="s">
        <v>225</v>
      </c>
      <c r="F240" t="s">
        <v>594</v>
      </c>
      <c r="G240" t="str">
        <f>"00019009"</f>
        <v>00019009</v>
      </c>
      <c r="H240" t="s">
        <v>176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56</v>
      </c>
      <c r="W240">
        <v>392</v>
      </c>
      <c r="X240">
        <v>6</v>
      </c>
      <c r="Y240">
        <v>1080</v>
      </c>
      <c r="Z240">
        <v>0</v>
      </c>
      <c r="AA240">
        <v>0</v>
      </c>
      <c r="AB240">
        <v>24</v>
      </c>
      <c r="AC240">
        <v>408</v>
      </c>
      <c r="AD240" t="s">
        <v>595</v>
      </c>
    </row>
    <row r="241" spans="1:30" x14ac:dyDescent="0.25">
      <c r="H241">
        <v>1080</v>
      </c>
    </row>
    <row r="242" spans="1:30" x14ac:dyDescent="0.25">
      <c r="A242">
        <v>118</v>
      </c>
      <c r="B242">
        <v>2313</v>
      </c>
      <c r="C242" t="s">
        <v>596</v>
      </c>
      <c r="D242" t="s">
        <v>35</v>
      </c>
      <c r="E242" t="s">
        <v>197</v>
      </c>
      <c r="F242" t="s">
        <v>597</v>
      </c>
      <c r="G242" t="str">
        <f>"201402005434"</f>
        <v>201402005434</v>
      </c>
      <c r="H242" t="s">
        <v>492</v>
      </c>
      <c r="I242">
        <v>0</v>
      </c>
      <c r="J242">
        <v>0</v>
      </c>
      <c r="K242">
        <v>0</v>
      </c>
      <c r="L242">
        <v>260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60</v>
      </c>
      <c r="W242">
        <v>420</v>
      </c>
      <c r="X242">
        <v>0</v>
      </c>
      <c r="Z242">
        <v>0</v>
      </c>
      <c r="AA242">
        <v>0</v>
      </c>
      <c r="AB242">
        <v>24</v>
      </c>
      <c r="AC242">
        <v>408</v>
      </c>
      <c r="AD242" t="s">
        <v>598</v>
      </c>
    </row>
    <row r="243" spans="1:30" x14ac:dyDescent="0.25">
      <c r="H243" t="s">
        <v>599</v>
      </c>
    </row>
    <row r="244" spans="1:30" x14ac:dyDescent="0.25">
      <c r="A244">
        <v>119</v>
      </c>
      <c r="B244">
        <v>3429</v>
      </c>
      <c r="C244" t="s">
        <v>600</v>
      </c>
      <c r="D244" t="s">
        <v>135</v>
      </c>
      <c r="E244" t="s">
        <v>435</v>
      </c>
      <c r="F244" t="s">
        <v>601</v>
      </c>
      <c r="G244" t="str">
        <f>"00084514"</f>
        <v>00084514</v>
      </c>
      <c r="H244" t="s">
        <v>115</v>
      </c>
      <c r="I244">
        <v>0</v>
      </c>
      <c r="J244">
        <v>400</v>
      </c>
      <c r="K244">
        <v>0</v>
      </c>
      <c r="L244">
        <v>0</v>
      </c>
      <c r="M244">
        <v>0</v>
      </c>
      <c r="N244">
        <v>50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602</v>
      </c>
    </row>
    <row r="245" spans="1:30" x14ac:dyDescent="0.25">
      <c r="H245" t="s">
        <v>603</v>
      </c>
    </row>
    <row r="246" spans="1:30" x14ac:dyDescent="0.25">
      <c r="A246">
        <v>120</v>
      </c>
      <c r="B246">
        <v>4636</v>
      </c>
      <c r="C246" t="s">
        <v>604</v>
      </c>
      <c r="D246" t="s">
        <v>311</v>
      </c>
      <c r="E246" t="s">
        <v>77</v>
      </c>
      <c r="F246" t="s">
        <v>605</v>
      </c>
      <c r="G246" t="str">
        <f>"00365076"</f>
        <v>00365076</v>
      </c>
      <c r="H246" t="s">
        <v>606</v>
      </c>
      <c r="I246">
        <v>150</v>
      </c>
      <c r="J246">
        <v>400</v>
      </c>
      <c r="K246">
        <v>0</v>
      </c>
      <c r="L246">
        <v>0</v>
      </c>
      <c r="M246">
        <v>100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60</v>
      </c>
      <c r="W246">
        <v>420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607</v>
      </c>
    </row>
    <row r="247" spans="1:30" x14ac:dyDescent="0.25">
      <c r="H247" t="s">
        <v>608</v>
      </c>
    </row>
    <row r="248" spans="1:30" x14ac:dyDescent="0.25">
      <c r="A248">
        <v>121</v>
      </c>
      <c r="B248">
        <v>687</v>
      </c>
      <c r="C248" t="s">
        <v>609</v>
      </c>
      <c r="D248" t="s">
        <v>59</v>
      </c>
      <c r="E248" t="s">
        <v>42</v>
      </c>
      <c r="F248" t="s">
        <v>610</v>
      </c>
      <c r="G248" t="str">
        <f>"201412005636"</f>
        <v>201412005636</v>
      </c>
      <c r="H248" t="s">
        <v>425</v>
      </c>
      <c r="I248">
        <v>0</v>
      </c>
      <c r="J248">
        <v>0</v>
      </c>
      <c r="K248">
        <v>200</v>
      </c>
      <c r="L248">
        <v>200</v>
      </c>
      <c r="M248">
        <v>0</v>
      </c>
      <c r="N248">
        <v>30</v>
      </c>
      <c r="O248">
        <v>30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611</v>
      </c>
    </row>
    <row r="249" spans="1:30" x14ac:dyDescent="0.25">
      <c r="H249" t="s">
        <v>612</v>
      </c>
    </row>
    <row r="250" spans="1:30" x14ac:dyDescent="0.25">
      <c r="A250">
        <v>122</v>
      </c>
      <c r="B250">
        <v>4591</v>
      </c>
      <c r="C250" t="s">
        <v>613</v>
      </c>
      <c r="D250" t="s">
        <v>614</v>
      </c>
      <c r="E250" t="s">
        <v>59</v>
      </c>
      <c r="F250" t="s">
        <v>615</v>
      </c>
      <c r="G250" t="str">
        <f>"00319895"</f>
        <v>00319895</v>
      </c>
      <c r="H250">
        <v>781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50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60</v>
      </c>
      <c r="W250">
        <v>420</v>
      </c>
      <c r="X250">
        <v>6</v>
      </c>
      <c r="Y250">
        <v>1084</v>
      </c>
      <c r="Z250">
        <v>0</v>
      </c>
      <c r="AA250">
        <v>0</v>
      </c>
      <c r="AB250">
        <v>24</v>
      </c>
      <c r="AC250">
        <v>408</v>
      </c>
      <c r="AD250">
        <v>1859</v>
      </c>
    </row>
    <row r="251" spans="1:30" x14ac:dyDescent="0.25">
      <c r="H251">
        <v>1084</v>
      </c>
    </row>
    <row r="252" spans="1:30" x14ac:dyDescent="0.25">
      <c r="A252">
        <v>123</v>
      </c>
      <c r="B252">
        <v>95</v>
      </c>
      <c r="C252" t="s">
        <v>616</v>
      </c>
      <c r="D252" t="s">
        <v>617</v>
      </c>
      <c r="E252" t="s">
        <v>135</v>
      </c>
      <c r="F252" t="s">
        <v>618</v>
      </c>
      <c r="G252" t="str">
        <f>"201402001461"</f>
        <v>201402001461</v>
      </c>
      <c r="H252" t="s">
        <v>619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30</v>
      </c>
      <c r="P252">
        <v>0</v>
      </c>
      <c r="Q252">
        <v>30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620</v>
      </c>
    </row>
    <row r="253" spans="1:30" x14ac:dyDescent="0.25">
      <c r="H253" t="s">
        <v>621</v>
      </c>
    </row>
    <row r="254" spans="1:30" x14ac:dyDescent="0.25">
      <c r="A254">
        <v>124</v>
      </c>
      <c r="B254">
        <v>5351</v>
      </c>
      <c r="C254" t="s">
        <v>622</v>
      </c>
      <c r="D254" t="s">
        <v>333</v>
      </c>
      <c r="E254" t="s">
        <v>135</v>
      </c>
      <c r="F254" t="s">
        <v>623</v>
      </c>
      <c r="G254" t="str">
        <f>"00084896"</f>
        <v>00084896</v>
      </c>
      <c r="H254" t="s">
        <v>624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30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67</v>
      </c>
      <c r="W254">
        <v>469</v>
      </c>
      <c r="X254">
        <v>0</v>
      </c>
      <c r="Z254">
        <v>0</v>
      </c>
      <c r="AA254">
        <v>0</v>
      </c>
      <c r="AB254">
        <v>17</v>
      </c>
      <c r="AC254">
        <v>289</v>
      </c>
      <c r="AD254" t="s">
        <v>625</v>
      </c>
    </row>
    <row r="255" spans="1:30" x14ac:dyDescent="0.25">
      <c r="H255" t="s">
        <v>626</v>
      </c>
    </row>
    <row r="256" spans="1:30" x14ac:dyDescent="0.25">
      <c r="A256">
        <v>125</v>
      </c>
      <c r="B256">
        <v>1864</v>
      </c>
      <c r="C256" t="s">
        <v>461</v>
      </c>
      <c r="D256" t="s">
        <v>627</v>
      </c>
      <c r="E256" t="s">
        <v>28</v>
      </c>
      <c r="F256" t="s">
        <v>628</v>
      </c>
      <c r="G256" t="str">
        <f>"201504004224"</f>
        <v>201504004224</v>
      </c>
      <c r="H256" t="s">
        <v>184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60</v>
      </c>
      <c r="W256">
        <v>420</v>
      </c>
      <c r="X256">
        <v>0</v>
      </c>
      <c r="Z256">
        <v>1</v>
      </c>
      <c r="AA256">
        <v>0</v>
      </c>
      <c r="AB256">
        <v>24</v>
      </c>
      <c r="AC256">
        <v>408</v>
      </c>
      <c r="AD256" t="s">
        <v>629</v>
      </c>
    </row>
    <row r="257" spans="1:30" x14ac:dyDescent="0.25">
      <c r="H257" t="s">
        <v>630</v>
      </c>
    </row>
    <row r="258" spans="1:30" x14ac:dyDescent="0.25">
      <c r="A258">
        <v>126</v>
      </c>
      <c r="B258">
        <v>1066</v>
      </c>
      <c r="C258" t="s">
        <v>631</v>
      </c>
      <c r="D258" t="s">
        <v>389</v>
      </c>
      <c r="E258" t="s">
        <v>59</v>
      </c>
      <c r="F258" t="s">
        <v>632</v>
      </c>
      <c r="G258" t="str">
        <f>"201504001772"</f>
        <v>201504001772</v>
      </c>
      <c r="H258" t="s">
        <v>633</v>
      </c>
      <c r="I258">
        <v>0</v>
      </c>
      <c r="J258">
        <v>0</v>
      </c>
      <c r="K258">
        <v>0</v>
      </c>
      <c r="L258">
        <v>260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60</v>
      </c>
      <c r="W258">
        <v>420</v>
      </c>
      <c r="X258">
        <v>0</v>
      </c>
      <c r="Z258">
        <v>0</v>
      </c>
      <c r="AA258">
        <v>0</v>
      </c>
      <c r="AB258">
        <v>24</v>
      </c>
      <c r="AC258">
        <v>408</v>
      </c>
      <c r="AD258" t="s">
        <v>634</v>
      </c>
    </row>
    <row r="259" spans="1:30" x14ac:dyDescent="0.25">
      <c r="H259" t="s">
        <v>635</v>
      </c>
    </row>
    <row r="260" spans="1:30" x14ac:dyDescent="0.25">
      <c r="A260">
        <v>127</v>
      </c>
      <c r="B260">
        <v>2096</v>
      </c>
      <c r="C260" t="s">
        <v>636</v>
      </c>
      <c r="D260" t="s">
        <v>637</v>
      </c>
      <c r="E260" t="s">
        <v>102</v>
      </c>
      <c r="F260" t="s">
        <v>638</v>
      </c>
      <c r="G260" t="str">
        <f>"00107485"</f>
        <v>00107485</v>
      </c>
      <c r="H260">
        <v>726</v>
      </c>
      <c r="I260">
        <v>0</v>
      </c>
      <c r="J260">
        <v>0</v>
      </c>
      <c r="K260">
        <v>0</v>
      </c>
      <c r="L260">
        <v>200</v>
      </c>
      <c r="M260">
        <v>30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60</v>
      </c>
      <c r="W260">
        <v>420</v>
      </c>
      <c r="X260">
        <v>0</v>
      </c>
      <c r="Z260">
        <v>0</v>
      </c>
      <c r="AA260">
        <v>0</v>
      </c>
      <c r="AB260">
        <v>24</v>
      </c>
      <c r="AC260">
        <v>408</v>
      </c>
      <c r="AD260">
        <v>1854</v>
      </c>
    </row>
    <row r="261" spans="1:30" x14ac:dyDescent="0.25">
      <c r="H261" t="s">
        <v>639</v>
      </c>
    </row>
    <row r="262" spans="1:30" x14ac:dyDescent="0.25">
      <c r="A262">
        <v>128</v>
      </c>
      <c r="B262">
        <v>2428</v>
      </c>
      <c r="C262" t="s">
        <v>640</v>
      </c>
      <c r="D262" t="s">
        <v>342</v>
      </c>
      <c r="E262" t="s">
        <v>225</v>
      </c>
      <c r="F262" t="s">
        <v>641</v>
      </c>
      <c r="G262" t="str">
        <f>"00341309"</f>
        <v>00341309</v>
      </c>
      <c r="H262" t="s">
        <v>199</v>
      </c>
      <c r="I262">
        <v>0</v>
      </c>
      <c r="J262">
        <v>400</v>
      </c>
      <c r="K262">
        <v>0</v>
      </c>
      <c r="L262">
        <v>0</v>
      </c>
      <c r="M262">
        <v>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642</v>
      </c>
    </row>
    <row r="263" spans="1:30" x14ac:dyDescent="0.25">
      <c r="H263">
        <v>1079</v>
      </c>
    </row>
    <row r="264" spans="1:30" x14ac:dyDescent="0.25">
      <c r="A264">
        <v>129</v>
      </c>
      <c r="B264">
        <v>5215</v>
      </c>
      <c r="C264" t="s">
        <v>643</v>
      </c>
      <c r="D264" t="s">
        <v>108</v>
      </c>
      <c r="E264" t="s">
        <v>158</v>
      </c>
      <c r="F264" t="s">
        <v>644</v>
      </c>
      <c r="G264" t="str">
        <f>"00291958"</f>
        <v>00291958</v>
      </c>
      <c r="H264">
        <v>737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50</v>
      </c>
      <c r="O264">
        <v>0</v>
      </c>
      <c r="P264">
        <v>0</v>
      </c>
      <c r="Q264">
        <v>0</v>
      </c>
      <c r="R264">
        <v>30</v>
      </c>
      <c r="S264">
        <v>0</v>
      </c>
      <c r="T264">
        <v>0</v>
      </c>
      <c r="U264">
        <v>0</v>
      </c>
      <c r="V264">
        <v>60</v>
      </c>
      <c r="W264">
        <v>420</v>
      </c>
      <c r="X264">
        <v>0</v>
      </c>
      <c r="Z264">
        <v>0</v>
      </c>
      <c r="AA264">
        <v>0</v>
      </c>
      <c r="AB264">
        <v>24</v>
      </c>
      <c r="AC264">
        <v>408</v>
      </c>
      <c r="AD264">
        <v>1845</v>
      </c>
    </row>
    <row r="265" spans="1:30" x14ac:dyDescent="0.25">
      <c r="H265" t="s">
        <v>645</v>
      </c>
    </row>
    <row r="266" spans="1:30" x14ac:dyDescent="0.25">
      <c r="A266">
        <v>130</v>
      </c>
      <c r="B266">
        <v>533</v>
      </c>
      <c r="C266" t="s">
        <v>646</v>
      </c>
      <c r="D266" t="s">
        <v>593</v>
      </c>
      <c r="E266" t="s">
        <v>28</v>
      </c>
      <c r="F266" t="s">
        <v>647</v>
      </c>
      <c r="G266" t="str">
        <f>"201412002152"</f>
        <v>201412002152</v>
      </c>
      <c r="H266" t="s">
        <v>541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50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44</v>
      </c>
      <c r="W266">
        <v>308</v>
      </c>
      <c r="X266">
        <v>0</v>
      </c>
      <c r="Z266">
        <v>0</v>
      </c>
      <c r="AA266">
        <v>0</v>
      </c>
      <c r="AB266">
        <v>24</v>
      </c>
      <c r="AC266">
        <v>408</v>
      </c>
      <c r="AD266" t="s">
        <v>648</v>
      </c>
    </row>
    <row r="267" spans="1:30" x14ac:dyDescent="0.25">
      <c r="H267" t="s">
        <v>649</v>
      </c>
    </row>
    <row r="268" spans="1:30" x14ac:dyDescent="0.25">
      <c r="A268">
        <v>131</v>
      </c>
      <c r="B268">
        <v>4887</v>
      </c>
      <c r="C268" t="s">
        <v>473</v>
      </c>
      <c r="D268" t="s">
        <v>225</v>
      </c>
      <c r="E268" t="s">
        <v>473</v>
      </c>
      <c r="F268" t="s">
        <v>650</v>
      </c>
      <c r="G268" t="str">
        <f>"201406015923"</f>
        <v>201406015923</v>
      </c>
      <c r="H268" t="s">
        <v>651</v>
      </c>
      <c r="I268">
        <v>150</v>
      </c>
      <c r="J268">
        <v>0</v>
      </c>
      <c r="K268">
        <v>0</v>
      </c>
      <c r="L268">
        <v>260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652</v>
      </c>
    </row>
    <row r="269" spans="1:30" x14ac:dyDescent="0.25">
      <c r="H269" t="s">
        <v>653</v>
      </c>
    </row>
    <row r="270" spans="1:30" x14ac:dyDescent="0.25">
      <c r="A270">
        <v>132</v>
      </c>
      <c r="B270">
        <v>1126</v>
      </c>
      <c r="C270" t="s">
        <v>654</v>
      </c>
      <c r="D270" t="s">
        <v>28</v>
      </c>
      <c r="E270" t="s">
        <v>59</v>
      </c>
      <c r="F270" t="s">
        <v>655</v>
      </c>
      <c r="G270" t="str">
        <f>"00018457"</f>
        <v>00018457</v>
      </c>
      <c r="H270" t="s">
        <v>656</v>
      </c>
      <c r="I270">
        <v>0</v>
      </c>
      <c r="J270">
        <v>0</v>
      </c>
      <c r="K270">
        <v>0</v>
      </c>
      <c r="L270">
        <v>260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60</v>
      </c>
      <c r="W270">
        <v>420</v>
      </c>
      <c r="X270">
        <v>0</v>
      </c>
      <c r="Z270">
        <v>0</v>
      </c>
      <c r="AA270">
        <v>0</v>
      </c>
      <c r="AB270">
        <v>24</v>
      </c>
      <c r="AC270">
        <v>408</v>
      </c>
      <c r="AD270" t="s">
        <v>657</v>
      </c>
    </row>
    <row r="271" spans="1:30" x14ac:dyDescent="0.25">
      <c r="H271" t="s">
        <v>658</v>
      </c>
    </row>
    <row r="272" spans="1:30" x14ac:dyDescent="0.25">
      <c r="A272">
        <v>133</v>
      </c>
      <c r="B272">
        <v>283</v>
      </c>
      <c r="C272" t="s">
        <v>659</v>
      </c>
      <c r="D272" t="s">
        <v>66</v>
      </c>
      <c r="E272" t="s">
        <v>135</v>
      </c>
      <c r="F272" t="s">
        <v>660</v>
      </c>
      <c r="G272" t="str">
        <f>"201504000601"</f>
        <v>201504000601</v>
      </c>
      <c r="H272" t="s">
        <v>492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30</v>
      </c>
      <c r="O272">
        <v>0</v>
      </c>
      <c r="P272">
        <v>30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60</v>
      </c>
      <c r="W272">
        <v>420</v>
      </c>
      <c r="X272">
        <v>0</v>
      </c>
      <c r="Z272">
        <v>0</v>
      </c>
      <c r="AA272">
        <v>0</v>
      </c>
      <c r="AB272">
        <v>24</v>
      </c>
      <c r="AC272">
        <v>408</v>
      </c>
      <c r="AD272" t="s">
        <v>661</v>
      </c>
    </row>
    <row r="273" spans="1:30" x14ac:dyDescent="0.25">
      <c r="H273" t="s">
        <v>662</v>
      </c>
    </row>
    <row r="274" spans="1:30" x14ac:dyDescent="0.25">
      <c r="A274">
        <v>134</v>
      </c>
      <c r="B274">
        <v>1607</v>
      </c>
      <c r="C274" t="s">
        <v>663</v>
      </c>
      <c r="D274" t="s">
        <v>664</v>
      </c>
      <c r="E274" t="s">
        <v>59</v>
      </c>
      <c r="F274" t="s">
        <v>665</v>
      </c>
      <c r="G274" t="str">
        <f>"201402003920"</f>
        <v>201402003920</v>
      </c>
      <c r="H274" t="s">
        <v>666</v>
      </c>
      <c r="I274">
        <v>0</v>
      </c>
      <c r="J274">
        <v>0</v>
      </c>
      <c r="K274">
        <v>0</v>
      </c>
      <c r="L274">
        <v>260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667</v>
      </c>
    </row>
    <row r="275" spans="1:30" x14ac:dyDescent="0.25">
      <c r="H275" t="s">
        <v>668</v>
      </c>
    </row>
    <row r="276" spans="1:30" x14ac:dyDescent="0.25">
      <c r="A276">
        <v>135</v>
      </c>
      <c r="B276">
        <v>4438</v>
      </c>
      <c r="C276" t="s">
        <v>669</v>
      </c>
      <c r="D276" t="s">
        <v>28</v>
      </c>
      <c r="E276" t="s">
        <v>42</v>
      </c>
      <c r="F276" t="s">
        <v>670</v>
      </c>
      <c r="G276" t="str">
        <f>"00027809"</f>
        <v>00027809</v>
      </c>
      <c r="H276" t="s">
        <v>671</v>
      </c>
      <c r="I276">
        <v>0</v>
      </c>
      <c r="J276">
        <v>400</v>
      </c>
      <c r="K276">
        <v>0</v>
      </c>
      <c r="L276">
        <v>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672</v>
      </c>
    </row>
    <row r="277" spans="1:30" x14ac:dyDescent="0.25">
      <c r="H277" t="s">
        <v>673</v>
      </c>
    </row>
    <row r="278" spans="1:30" x14ac:dyDescent="0.25">
      <c r="A278">
        <v>136</v>
      </c>
      <c r="B278">
        <v>1648</v>
      </c>
      <c r="C278" t="s">
        <v>674</v>
      </c>
      <c r="D278" t="s">
        <v>675</v>
      </c>
      <c r="E278" t="s">
        <v>148</v>
      </c>
      <c r="F278" t="s">
        <v>676</v>
      </c>
      <c r="G278" t="str">
        <f>"00323922"</f>
        <v>00323922</v>
      </c>
      <c r="H278" t="s">
        <v>677</v>
      </c>
      <c r="I278">
        <v>0</v>
      </c>
      <c r="J278">
        <v>0</v>
      </c>
      <c r="K278">
        <v>0</v>
      </c>
      <c r="L278">
        <v>260</v>
      </c>
      <c r="M278">
        <v>0</v>
      </c>
      <c r="N278">
        <v>50</v>
      </c>
      <c r="O278">
        <v>70</v>
      </c>
      <c r="P278">
        <v>0</v>
      </c>
      <c r="Q278">
        <v>30</v>
      </c>
      <c r="R278">
        <v>30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678</v>
      </c>
    </row>
    <row r="279" spans="1:30" x14ac:dyDescent="0.25">
      <c r="H279" t="s">
        <v>679</v>
      </c>
    </row>
    <row r="280" spans="1:30" x14ac:dyDescent="0.25">
      <c r="A280">
        <v>137</v>
      </c>
      <c r="B280">
        <v>3667</v>
      </c>
      <c r="C280" t="s">
        <v>680</v>
      </c>
      <c r="D280" t="s">
        <v>77</v>
      </c>
      <c r="E280" t="s">
        <v>135</v>
      </c>
      <c r="F280" t="s">
        <v>681</v>
      </c>
      <c r="G280" t="str">
        <f>"201412002293"</f>
        <v>201412002293</v>
      </c>
      <c r="H280" t="s">
        <v>682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70</v>
      </c>
      <c r="O280">
        <v>0</v>
      </c>
      <c r="P280">
        <v>0</v>
      </c>
      <c r="Q280">
        <v>70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683</v>
      </c>
    </row>
    <row r="281" spans="1:30" x14ac:dyDescent="0.25">
      <c r="H281" t="s">
        <v>684</v>
      </c>
    </row>
    <row r="282" spans="1:30" x14ac:dyDescent="0.25">
      <c r="A282">
        <v>138</v>
      </c>
      <c r="B282">
        <v>1031</v>
      </c>
      <c r="C282" t="s">
        <v>685</v>
      </c>
      <c r="D282" t="s">
        <v>49</v>
      </c>
      <c r="E282" t="s">
        <v>435</v>
      </c>
      <c r="F282" t="s">
        <v>686</v>
      </c>
      <c r="G282" t="str">
        <f>"201402007255"</f>
        <v>201402007255</v>
      </c>
      <c r="H282" t="s">
        <v>166</v>
      </c>
      <c r="I282">
        <v>0</v>
      </c>
      <c r="J282">
        <v>0</v>
      </c>
      <c r="K282">
        <v>0</v>
      </c>
      <c r="L282">
        <v>260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72</v>
      </c>
      <c r="W282">
        <v>504</v>
      </c>
      <c r="X282">
        <v>0</v>
      </c>
      <c r="Z282">
        <v>0</v>
      </c>
      <c r="AA282">
        <v>0</v>
      </c>
      <c r="AB282">
        <v>12</v>
      </c>
      <c r="AC282">
        <v>204</v>
      </c>
      <c r="AD282" t="s">
        <v>687</v>
      </c>
    </row>
    <row r="283" spans="1:30" x14ac:dyDescent="0.25">
      <c r="H283" t="s">
        <v>688</v>
      </c>
    </row>
    <row r="284" spans="1:30" x14ac:dyDescent="0.25">
      <c r="A284">
        <v>139</v>
      </c>
      <c r="B284">
        <v>5221</v>
      </c>
      <c r="C284" t="s">
        <v>689</v>
      </c>
      <c r="D284" t="s">
        <v>283</v>
      </c>
      <c r="E284" t="s">
        <v>135</v>
      </c>
      <c r="F284" t="s">
        <v>690</v>
      </c>
      <c r="G284" t="str">
        <f>"201511042603"</f>
        <v>201511042603</v>
      </c>
      <c r="H284">
        <v>858</v>
      </c>
      <c r="I284">
        <v>0</v>
      </c>
      <c r="J284">
        <v>0</v>
      </c>
      <c r="K284">
        <v>0</v>
      </c>
      <c r="L284">
        <v>260</v>
      </c>
      <c r="M284">
        <v>0</v>
      </c>
      <c r="N284">
        <v>70</v>
      </c>
      <c r="O284">
        <v>50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>
        <v>1826</v>
      </c>
    </row>
    <row r="285" spans="1:30" x14ac:dyDescent="0.25">
      <c r="H285" t="s">
        <v>691</v>
      </c>
    </row>
    <row r="286" spans="1:30" x14ac:dyDescent="0.25">
      <c r="A286">
        <v>140</v>
      </c>
      <c r="B286">
        <v>1080</v>
      </c>
      <c r="C286" t="s">
        <v>692</v>
      </c>
      <c r="D286" t="s">
        <v>89</v>
      </c>
      <c r="E286" t="s">
        <v>135</v>
      </c>
      <c r="F286" t="s">
        <v>693</v>
      </c>
      <c r="G286" t="str">
        <f>"00248644"</f>
        <v>00248644</v>
      </c>
      <c r="H286">
        <v>858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30</v>
      </c>
      <c r="R286">
        <v>0</v>
      </c>
      <c r="S286">
        <v>0</v>
      </c>
      <c r="T286">
        <v>0</v>
      </c>
      <c r="U286">
        <v>0</v>
      </c>
      <c r="V286">
        <v>76</v>
      </c>
      <c r="W286">
        <v>532</v>
      </c>
      <c r="X286">
        <v>0</v>
      </c>
      <c r="Z286">
        <v>0</v>
      </c>
      <c r="AA286">
        <v>0</v>
      </c>
      <c r="AB286">
        <v>8</v>
      </c>
      <c r="AC286">
        <v>136</v>
      </c>
      <c r="AD286">
        <v>1826</v>
      </c>
    </row>
    <row r="287" spans="1:30" x14ac:dyDescent="0.25">
      <c r="H287">
        <v>1081</v>
      </c>
    </row>
    <row r="288" spans="1:30" x14ac:dyDescent="0.25">
      <c r="A288">
        <v>141</v>
      </c>
      <c r="B288">
        <v>4337</v>
      </c>
      <c r="C288" t="s">
        <v>403</v>
      </c>
      <c r="D288" t="s">
        <v>89</v>
      </c>
      <c r="E288" t="s">
        <v>42</v>
      </c>
      <c r="F288" t="s">
        <v>404</v>
      </c>
      <c r="G288" t="str">
        <f>"201406012221"</f>
        <v>201406012221</v>
      </c>
      <c r="H288" t="s">
        <v>199</v>
      </c>
      <c r="I288">
        <v>0</v>
      </c>
      <c r="J288">
        <v>0</v>
      </c>
      <c r="K288">
        <v>0</v>
      </c>
      <c r="L288">
        <v>260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72</v>
      </c>
      <c r="W288">
        <v>504</v>
      </c>
      <c r="X288">
        <v>0</v>
      </c>
      <c r="Z288">
        <v>0</v>
      </c>
      <c r="AA288">
        <v>0</v>
      </c>
      <c r="AB288">
        <v>12</v>
      </c>
      <c r="AC288">
        <v>204</v>
      </c>
      <c r="AD288" t="s">
        <v>694</v>
      </c>
    </row>
    <row r="289" spans="1:30" x14ac:dyDescent="0.25">
      <c r="H289" t="s">
        <v>406</v>
      </c>
    </row>
    <row r="290" spans="1:30" x14ac:dyDescent="0.25">
      <c r="A290">
        <v>142</v>
      </c>
      <c r="B290">
        <v>2214</v>
      </c>
      <c r="C290" t="s">
        <v>695</v>
      </c>
      <c r="D290" t="s">
        <v>408</v>
      </c>
      <c r="E290" t="s">
        <v>696</v>
      </c>
      <c r="F290" t="s">
        <v>697</v>
      </c>
      <c r="G290" t="str">
        <f>"201504004658"</f>
        <v>201504004658</v>
      </c>
      <c r="H290" t="s">
        <v>698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42</v>
      </c>
      <c r="W290">
        <v>294</v>
      </c>
      <c r="X290">
        <v>0</v>
      </c>
      <c r="Z290">
        <v>1</v>
      </c>
      <c r="AA290">
        <v>0</v>
      </c>
      <c r="AB290">
        <v>24</v>
      </c>
      <c r="AC290">
        <v>408</v>
      </c>
      <c r="AD290" t="s">
        <v>699</v>
      </c>
    </row>
    <row r="291" spans="1:30" x14ac:dyDescent="0.25">
      <c r="H291" t="s">
        <v>700</v>
      </c>
    </row>
    <row r="292" spans="1:30" x14ac:dyDescent="0.25">
      <c r="A292">
        <v>143</v>
      </c>
      <c r="B292">
        <v>3781</v>
      </c>
      <c r="C292" t="s">
        <v>701</v>
      </c>
      <c r="D292" t="s">
        <v>142</v>
      </c>
      <c r="E292" t="s">
        <v>702</v>
      </c>
      <c r="F292" t="s">
        <v>703</v>
      </c>
      <c r="G292" t="str">
        <f>"201402005577"</f>
        <v>201402005577</v>
      </c>
      <c r="H292">
        <v>693</v>
      </c>
      <c r="I292">
        <v>0</v>
      </c>
      <c r="J292">
        <v>0</v>
      </c>
      <c r="K292">
        <v>0</v>
      </c>
      <c r="L292">
        <v>200</v>
      </c>
      <c r="M292">
        <v>30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60</v>
      </c>
      <c r="W292">
        <v>420</v>
      </c>
      <c r="X292">
        <v>0</v>
      </c>
      <c r="Z292">
        <v>0</v>
      </c>
      <c r="AA292">
        <v>0</v>
      </c>
      <c r="AB292">
        <v>24</v>
      </c>
      <c r="AC292">
        <v>408</v>
      </c>
      <c r="AD292">
        <v>1821</v>
      </c>
    </row>
    <row r="293" spans="1:30" x14ac:dyDescent="0.25">
      <c r="H293" t="s">
        <v>704</v>
      </c>
    </row>
    <row r="294" spans="1:30" x14ac:dyDescent="0.25">
      <c r="A294">
        <v>144</v>
      </c>
      <c r="B294">
        <v>4126</v>
      </c>
      <c r="C294" t="s">
        <v>705</v>
      </c>
      <c r="D294" t="s">
        <v>42</v>
      </c>
      <c r="E294" t="s">
        <v>135</v>
      </c>
      <c r="F294" t="s">
        <v>706</v>
      </c>
      <c r="G294" t="str">
        <f>"201412006322"</f>
        <v>201412006322</v>
      </c>
      <c r="H294" t="s">
        <v>707</v>
      </c>
      <c r="I294">
        <v>0</v>
      </c>
      <c r="J294">
        <v>0</v>
      </c>
      <c r="K294">
        <v>0</v>
      </c>
      <c r="L294">
        <v>260</v>
      </c>
      <c r="M294">
        <v>0</v>
      </c>
      <c r="N294">
        <v>50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708</v>
      </c>
    </row>
    <row r="295" spans="1:30" x14ac:dyDescent="0.25">
      <c r="H295" t="s">
        <v>709</v>
      </c>
    </row>
    <row r="296" spans="1:30" x14ac:dyDescent="0.25">
      <c r="A296">
        <v>145</v>
      </c>
      <c r="B296">
        <v>3101</v>
      </c>
      <c r="C296" t="s">
        <v>710</v>
      </c>
      <c r="D296" t="s">
        <v>213</v>
      </c>
      <c r="E296" t="s">
        <v>35</v>
      </c>
      <c r="F296" t="s">
        <v>711</v>
      </c>
      <c r="G296" t="str">
        <f>"200801006316"</f>
        <v>200801006316</v>
      </c>
      <c r="H296" t="s">
        <v>552</v>
      </c>
      <c r="I296">
        <v>0</v>
      </c>
      <c r="J296">
        <v>0</v>
      </c>
      <c r="K296">
        <v>0</v>
      </c>
      <c r="L296">
        <v>260</v>
      </c>
      <c r="M296">
        <v>0</v>
      </c>
      <c r="N296">
        <v>70</v>
      </c>
      <c r="O296">
        <v>70</v>
      </c>
      <c r="P296">
        <v>0</v>
      </c>
      <c r="Q296">
        <v>70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712</v>
      </c>
    </row>
    <row r="297" spans="1:30" x14ac:dyDescent="0.25">
      <c r="H297" t="s">
        <v>713</v>
      </c>
    </row>
    <row r="298" spans="1:30" x14ac:dyDescent="0.25">
      <c r="A298">
        <v>146</v>
      </c>
      <c r="B298">
        <v>338</v>
      </c>
      <c r="C298" t="s">
        <v>714</v>
      </c>
      <c r="D298" t="s">
        <v>715</v>
      </c>
      <c r="E298" t="s">
        <v>716</v>
      </c>
      <c r="F298" t="s">
        <v>717</v>
      </c>
      <c r="G298" t="str">
        <f>"00167726"</f>
        <v>00167726</v>
      </c>
      <c r="H298" t="s">
        <v>718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50</v>
      </c>
      <c r="O298">
        <v>0</v>
      </c>
      <c r="P298">
        <v>0</v>
      </c>
      <c r="Q298">
        <v>70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719</v>
      </c>
    </row>
    <row r="299" spans="1:30" x14ac:dyDescent="0.25">
      <c r="H299" t="s">
        <v>720</v>
      </c>
    </row>
    <row r="300" spans="1:30" x14ac:dyDescent="0.25">
      <c r="A300">
        <v>147</v>
      </c>
      <c r="B300">
        <v>5107</v>
      </c>
      <c r="C300" t="s">
        <v>721</v>
      </c>
      <c r="D300" t="s">
        <v>77</v>
      </c>
      <c r="E300" t="s">
        <v>59</v>
      </c>
      <c r="F300" t="s">
        <v>722</v>
      </c>
      <c r="G300" t="str">
        <f>"201402010371"</f>
        <v>201402010371</v>
      </c>
      <c r="H300" t="s">
        <v>723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30</v>
      </c>
      <c r="O300">
        <v>0</v>
      </c>
      <c r="P300">
        <v>30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60</v>
      </c>
      <c r="W300">
        <v>420</v>
      </c>
      <c r="X300">
        <v>0</v>
      </c>
      <c r="Z300">
        <v>0</v>
      </c>
      <c r="AA300">
        <v>0</v>
      </c>
      <c r="AB300">
        <v>24</v>
      </c>
      <c r="AC300">
        <v>408</v>
      </c>
      <c r="AD300" t="s">
        <v>724</v>
      </c>
    </row>
    <row r="301" spans="1:30" x14ac:dyDescent="0.25">
      <c r="H301" t="s">
        <v>725</v>
      </c>
    </row>
    <row r="302" spans="1:30" x14ac:dyDescent="0.25">
      <c r="A302">
        <v>148</v>
      </c>
      <c r="B302">
        <v>3019</v>
      </c>
      <c r="C302" t="s">
        <v>135</v>
      </c>
      <c r="D302" t="s">
        <v>726</v>
      </c>
      <c r="E302" t="s">
        <v>576</v>
      </c>
      <c r="F302" t="s">
        <v>727</v>
      </c>
      <c r="G302" t="str">
        <f>"00254419"</f>
        <v>00254419</v>
      </c>
      <c r="H302" t="s">
        <v>677</v>
      </c>
      <c r="I302">
        <v>0</v>
      </c>
      <c r="J302">
        <v>400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728</v>
      </c>
    </row>
    <row r="303" spans="1:30" x14ac:dyDescent="0.25">
      <c r="H303" t="s">
        <v>729</v>
      </c>
    </row>
    <row r="304" spans="1:30" x14ac:dyDescent="0.25">
      <c r="A304">
        <v>149</v>
      </c>
      <c r="B304">
        <v>4835</v>
      </c>
      <c r="C304" t="s">
        <v>730</v>
      </c>
      <c r="D304" t="s">
        <v>637</v>
      </c>
      <c r="E304" t="s">
        <v>731</v>
      </c>
      <c r="F304" t="s">
        <v>732</v>
      </c>
      <c r="G304" t="str">
        <f>"00308787"</f>
        <v>00308787</v>
      </c>
      <c r="H304" t="s">
        <v>61</v>
      </c>
      <c r="I304">
        <v>150</v>
      </c>
      <c r="J304">
        <v>0</v>
      </c>
      <c r="K304">
        <v>0</v>
      </c>
      <c r="L304">
        <v>200</v>
      </c>
      <c r="M304">
        <v>0</v>
      </c>
      <c r="N304">
        <v>30</v>
      </c>
      <c r="O304">
        <v>30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733</v>
      </c>
    </row>
    <row r="305" spans="1:30" x14ac:dyDescent="0.25">
      <c r="H305" t="s">
        <v>734</v>
      </c>
    </row>
    <row r="306" spans="1:30" x14ac:dyDescent="0.25">
      <c r="A306">
        <v>150</v>
      </c>
      <c r="B306">
        <v>4257</v>
      </c>
      <c r="C306" t="s">
        <v>735</v>
      </c>
      <c r="D306" t="s">
        <v>148</v>
      </c>
      <c r="E306" t="s">
        <v>300</v>
      </c>
      <c r="F306" t="s">
        <v>736</v>
      </c>
      <c r="G306" t="str">
        <f>"201603000417"</f>
        <v>201603000417</v>
      </c>
      <c r="H306" t="s">
        <v>737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50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60</v>
      </c>
      <c r="W306">
        <v>420</v>
      </c>
      <c r="X306">
        <v>0</v>
      </c>
      <c r="Z306">
        <v>0</v>
      </c>
      <c r="AA306">
        <v>0</v>
      </c>
      <c r="AB306">
        <v>24</v>
      </c>
      <c r="AC306">
        <v>408</v>
      </c>
      <c r="AD306" t="s">
        <v>738</v>
      </c>
    </row>
    <row r="307" spans="1:30" x14ac:dyDescent="0.25">
      <c r="H307" t="s">
        <v>739</v>
      </c>
    </row>
    <row r="308" spans="1:30" x14ac:dyDescent="0.25">
      <c r="A308">
        <v>151</v>
      </c>
      <c r="B308">
        <v>3026</v>
      </c>
      <c r="C308" t="s">
        <v>740</v>
      </c>
      <c r="D308" t="s">
        <v>294</v>
      </c>
      <c r="E308" t="s">
        <v>203</v>
      </c>
      <c r="F308" t="s">
        <v>741</v>
      </c>
      <c r="G308" t="str">
        <f>"00017984"</f>
        <v>00017984</v>
      </c>
      <c r="H308" t="s">
        <v>742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60</v>
      </c>
      <c r="W308">
        <v>420</v>
      </c>
      <c r="X308">
        <v>0</v>
      </c>
      <c r="Z308">
        <v>0</v>
      </c>
      <c r="AA308">
        <v>0</v>
      </c>
      <c r="AB308">
        <v>24</v>
      </c>
      <c r="AC308">
        <v>408</v>
      </c>
      <c r="AD308" t="s">
        <v>743</v>
      </c>
    </row>
    <row r="309" spans="1:30" x14ac:dyDescent="0.25">
      <c r="H309" t="s">
        <v>744</v>
      </c>
    </row>
    <row r="310" spans="1:30" x14ac:dyDescent="0.25">
      <c r="A310">
        <v>152</v>
      </c>
      <c r="B310">
        <v>2560</v>
      </c>
      <c r="C310" t="s">
        <v>745</v>
      </c>
      <c r="D310" t="s">
        <v>225</v>
      </c>
      <c r="E310" t="s">
        <v>135</v>
      </c>
      <c r="F310" t="s">
        <v>746</v>
      </c>
      <c r="G310" t="str">
        <f>"201507000158"</f>
        <v>201507000158</v>
      </c>
      <c r="H310" t="s">
        <v>747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0</v>
      </c>
      <c r="P310">
        <v>30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72</v>
      </c>
      <c r="W310">
        <v>504</v>
      </c>
      <c r="X310">
        <v>0</v>
      </c>
      <c r="Z310">
        <v>0</v>
      </c>
      <c r="AA310">
        <v>0</v>
      </c>
      <c r="AB310">
        <v>12</v>
      </c>
      <c r="AC310">
        <v>204</v>
      </c>
      <c r="AD310" t="s">
        <v>748</v>
      </c>
    </row>
    <row r="311" spans="1:30" x14ac:dyDescent="0.25">
      <c r="H311" t="s">
        <v>749</v>
      </c>
    </row>
    <row r="312" spans="1:30" x14ac:dyDescent="0.25">
      <c r="A312">
        <v>153</v>
      </c>
      <c r="B312">
        <v>357</v>
      </c>
      <c r="C312" t="s">
        <v>750</v>
      </c>
      <c r="D312" t="s">
        <v>77</v>
      </c>
      <c r="E312" t="s">
        <v>28</v>
      </c>
      <c r="F312" t="s">
        <v>751</v>
      </c>
      <c r="G312" t="str">
        <f>"00132623"</f>
        <v>00132623</v>
      </c>
      <c r="H312" t="s">
        <v>752</v>
      </c>
      <c r="I312">
        <v>0</v>
      </c>
      <c r="J312">
        <v>400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80</v>
      </c>
      <c r="W312">
        <v>560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753</v>
      </c>
    </row>
    <row r="313" spans="1:30" x14ac:dyDescent="0.25">
      <c r="H313">
        <v>1079</v>
      </c>
    </row>
    <row r="314" spans="1:30" x14ac:dyDescent="0.25">
      <c r="A314">
        <v>154</v>
      </c>
      <c r="B314">
        <v>4304</v>
      </c>
      <c r="C314" t="s">
        <v>754</v>
      </c>
      <c r="D314" t="s">
        <v>306</v>
      </c>
      <c r="E314" t="s">
        <v>755</v>
      </c>
      <c r="F314" t="s">
        <v>756</v>
      </c>
      <c r="G314" t="str">
        <f>"201412000372"</f>
        <v>201412000372</v>
      </c>
      <c r="H314" t="s">
        <v>757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50</v>
      </c>
      <c r="P314">
        <v>0</v>
      </c>
      <c r="Q314">
        <v>70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758</v>
      </c>
    </row>
    <row r="315" spans="1:30" x14ac:dyDescent="0.25">
      <c r="H315">
        <v>1073</v>
      </c>
    </row>
    <row r="316" spans="1:30" x14ac:dyDescent="0.25">
      <c r="A316">
        <v>155</v>
      </c>
      <c r="B316">
        <v>3050</v>
      </c>
      <c r="C316" t="s">
        <v>759</v>
      </c>
      <c r="D316" t="s">
        <v>435</v>
      </c>
      <c r="E316" t="s">
        <v>148</v>
      </c>
      <c r="F316" t="s">
        <v>760</v>
      </c>
      <c r="G316" t="str">
        <f>"200802002598"</f>
        <v>200802002598</v>
      </c>
      <c r="H316" t="s">
        <v>761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60</v>
      </c>
      <c r="W316">
        <v>420</v>
      </c>
      <c r="X316">
        <v>0</v>
      </c>
      <c r="Z316">
        <v>0</v>
      </c>
      <c r="AA316">
        <v>0</v>
      </c>
      <c r="AB316">
        <v>24</v>
      </c>
      <c r="AC316">
        <v>408</v>
      </c>
      <c r="AD316" t="s">
        <v>762</v>
      </c>
    </row>
    <row r="317" spans="1:30" x14ac:dyDescent="0.25">
      <c r="H317" t="s">
        <v>763</v>
      </c>
    </row>
    <row r="318" spans="1:30" x14ac:dyDescent="0.25">
      <c r="A318">
        <v>156</v>
      </c>
      <c r="B318">
        <v>1049</v>
      </c>
      <c r="C318" t="s">
        <v>764</v>
      </c>
      <c r="D318" t="s">
        <v>89</v>
      </c>
      <c r="E318" t="s">
        <v>22</v>
      </c>
      <c r="F318" t="s">
        <v>765</v>
      </c>
      <c r="G318" t="str">
        <f>"00310137"</f>
        <v>00310137</v>
      </c>
      <c r="H318" t="s">
        <v>766</v>
      </c>
      <c r="I318">
        <v>0</v>
      </c>
      <c r="J318">
        <v>0</v>
      </c>
      <c r="K318">
        <v>0</v>
      </c>
      <c r="L318">
        <v>260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60</v>
      </c>
      <c r="W318">
        <v>420</v>
      </c>
      <c r="X318">
        <v>0</v>
      </c>
      <c r="Z318">
        <v>0</v>
      </c>
      <c r="AA318">
        <v>0</v>
      </c>
      <c r="AB318">
        <v>24</v>
      </c>
      <c r="AC318">
        <v>408</v>
      </c>
      <c r="AD318" t="s">
        <v>767</v>
      </c>
    </row>
    <row r="319" spans="1:30" x14ac:dyDescent="0.25">
      <c r="H319" t="s">
        <v>768</v>
      </c>
    </row>
    <row r="320" spans="1:30" x14ac:dyDescent="0.25">
      <c r="A320">
        <v>157</v>
      </c>
      <c r="B320">
        <v>915</v>
      </c>
      <c r="C320" t="s">
        <v>258</v>
      </c>
      <c r="D320" t="s">
        <v>66</v>
      </c>
      <c r="E320" t="s">
        <v>135</v>
      </c>
      <c r="F320" t="s">
        <v>259</v>
      </c>
      <c r="G320" t="str">
        <f>"201412003564"</f>
        <v>201412003564</v>
      </c>
      <c r="H320" t="s">
        <v>260</v>
      </c>
      <c r="I320">
        <v>0</v>
      </c>
      <c r="J320">
        <v>0</v>
      </c>
      <c r="K320">
        <v>0</v>
      </c>
      <c r="L320">
        <v>260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769</v>
      </c>
    </row>
    <row r="321" spans="1:30" x14ac:dyDescent="0.25">
      <c r="H321" t="s">
        <v>262</v>
      </c>
    </row>
    <row r="322" spans="1:30" x14ac:dyDescent="0.25">
      <c r="A322">
        <v>158</v>
      </c>
      <c r="B322">
        <v>2925</v>
      </c>
      <c r="C322" t="s">
        <v>770</v>
      </c>
      <c r="D322" t="s">
        <v>89</v>
      </c>
      <c r="E322" t="s">
        <v>77</v>
      </c>
      <c r="F322" t="s">
        <v>771</v>
      </c>
      <c r="G322" t="str">
        <f>"00359705"</f>
        <v>00359705</v>
      </c>
      <c r="H322" t="s">
        <v>772</v>
      </c>
      <c r="I322">
        <v>150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0</v>
      </c>
      <c r="P322">
        <v>30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773</v>
      </c>
    </row>
    <row r="323" spans="1:30" x14ac:dyDescent="0.25">
      <c r="H323" t="s">
        <v>774</v>
      </c>
    </row>
    <row r="324" spans="1:30" x14ac:dyDescent="0.25">
      <c r="A324">
        <v>159</v>
      </c>
      <c r="B324">
        <v>1746</v>
      </c>
      <c r="C324" t="s">
        <v>775</v>
      </c>
      <c r="D324" t="s">
        <v>333</v>
      </c>
      <c r="E324" t="s">
        <v>35</v>
      </c>
      <c r="F324" t="s">
        <v>776</v>
      </c>
      <c r="G324" t="str">
        <f>"00288192"</f>
        <v>00288192</v>
      </c>
      <c r="H324" t="s">
        <v>777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60</v>
      </c>
      <c r="W324">
        <v>420</v>
      </c>
      <c r="X324">
        <v>0</v>
      </c>
      <c r="Z324">
        <v>0</v>
      </c>
      <c r="AA324">
        <v>0</v>
      </c>
      <c r="AB324">
        <v>24</v>
      </c>
      <c r="AC324">
        <v>408</v>
      </c>
      <c r="AD324" t="s">
        <v>778</v>
      </c>
    </row>
    <row r="325" spans="1:30" x14ac:dyDescent="0.25">
      <c r="H325">
        <v>1072</v>
      </c>
    </row>
    <row r="326" spans="1:30" x14ac:dyDescent="0.25">
      <c r="A326">
        <v>160</v>
      </c>
      <c r="B326">
        <v>1819</v>
      </c>
      <c r="C326" t="s">
        <v>779</v>
      </c>
      <c r="D326" t="s">
        <v>780</v>
      </c>
      <c r="E326" t="s">
        <v>135</v>
      </c>
      <c r="F326" t="s">
        <v>781</v>
      </c>
      <c r="G326" t="str">
        <f>"00216806"</f>
        <v>00216806</v>
      </c>
      <c r="H326" t="s">
        <v>782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0</v>
      </c>
      <c r="P326">
        <v>50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783</v>
      </c>
    </row>
    <row r="327" spans="1:30" x14ac:dyDescent="0.25">
      <c r="H327" t="s">
        <v>784</v>
      </c>
    </row>
    <row r="328" spans="1:30" x14ac:dyDescent="0.25">
      <c r="A328">
        <v>161</v>
      </c>
      <c r="B328">
        <v>1368</v>
      </c>
      <c r="C328" t="s">
        <v>785</v>
      </c>
      <c r="D328" t="s">
        <v>327</v>
      </c>
      <c r="E328" t="s">
        <v>28</v>
      </c>
      <c r="F328" t="s">
        <v>786</v>
      </c>
      <c r="G328" t="str">
        <f>"00253730"</f>
        <v>00253730</v>
      </c>
      <c r="H328" t="s">
        <v>184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65</v>
      </c>
      <c r="W328">
        <v>455</v>
      </c>
      <c r="X328">
        <v>0</v>
      </c>
      <c r="Z328">
        <v>0</v>
      </c>
      <c r="AA328">
        <v>0</v>
      </c>
      <c r="AB328">
        <v>19</v>
      </c>
      <c r="AC328">
        <v>323</v>
      </c>
      <c r="AD328" t="s">
        <v>787</v>
      </c>
    </row>
    <row r="329" spans="1:30" x14ac:dyDescent="0.25">
      <c r="H329">
        <v>1072</v>
      </c>
    </row>
    <row r="330" spans="1:30" x14ac:dyDescent="0.25">
      <c r="A330">
        <v>162</v>
      </c>
      <c r="B330">
        <v>1317</v>
      </c>
      <c r="C330" t="s">
        <v>788</v>
      </c>
      <c r="D330" t="s">
        <v>14</v>
      </c>
      <c r="E330" t="s">
        <v>135</v>
      </c>
      <c r="F330" t="s">
        <v>789</v>
      </c>
      <c r="G330" t="str">
        <f>"201412007172"</f>
        <v>201412007172</v>
      </c>
      <c r="H330" t="s">
        <v>790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60</v>
      </c>
      <c r="W330">
        <v>420</v>
      </c>
      <c r="X330">
        <v>0</v>
      </c>
      <c r="Z330">
        <v>0</v>
      </c>
      <c r="AA330">
        <v>0</v>
      </c>
      <c r="AB330">
        <v>24</v>
      </c>
      <c r="AC330">
        <v>408</v>
      </c>
      <c r="AD330" t="s">
        <v>791</v>
      </c>
    </row>
    <row r="331" spans="1:30" x14ac:dyDescent="0.25">
      <c r="H331" t="s">
        <v>792</v>
      </c>
    </row>
    <row r="332" spans="1:30" x14ac:dyDescent="0.25">
      <c r="A332">
        <v>163</v>
      </c>
      <c r="B332">
        <v>2831</v>
      </c>
      <c r="C332" t="s">
        <v>793</v>
      </c>
      <c r="D332" t="s">
        <v>794</v>
      </c>
      <c r="E332" t="s">
        <v>135</v>
      </c>
      <c r="F332" t="s">
        <v>795</v>
      </c>
      <c r="G332" t="str">
        <f>"00353457"</f>
        <v>00353457</v>
      </c>
      <c r="H332">
        <v>715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30</v>
      </c>
      <c r="O332">
        <v>0</v>
      </c>
      <c r="P332">
        <v>30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60</v>
      </c>
      <c r="W332">
        <v>420</v>
      </c>
      <c r="X332">
        <v>0</v>
      </c>
      <c r="Z332">
        <v>0</v>
      </c>
      <c r="AA332">
        <v>0</v>
      </c>
      <c r="AB332">
        <v>24</v>
      </c>
      <c r="AC332">
        <v>408</v>
      </c>
      <c r="AD332">
        <v>1803</v>
      </c>
    </row>
    <row r="333" spans="1:30" x14ac:dyDescent="0.25">
      <c r="H333">
        <v>1090</v>
      </c>
    </row>
    <row r="334" spans="1:30" x14ac:dyDescent="0.25">
      <c r="A334">
        <v>164</v>
      </c>
      <c r="B334">
        <v>2991</v>
      </c>
      <c r="C334" t="s">
        <v>796</v>
      </c>
      <c r="D334" t="s">
        <v>135</v>
      </c>
      <c r="E334" t="s">
        <v>253</v>
      </c>
      <c r="F334" t="s">
        <v>797</v>
      </c>
      <c r="G334" t="str">
        <f>"00306924"</f>
        <v>00306924</v>
      </c>
      <c r="H334">
        <v>704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60</v>
      </c>
      <c r="W334">
        <v>420</v>
      </c>
      <c r="X334">
        <v>0</v>
      </c>
      <c r="Z334">
        <v>0</v>
      </c>
      <c r="AA334">
        <v>0</v>
      </c>
      <c r="AB334">
        <v>24</v>
      </c>
      <c r="AC334">
        <v>408</v>
      </c>
      <c r="AD334">
        <v>1802</v>
      </c>
    </row>
    <row r="335" spans="1:30" x14ac:dyDescent="0.25">
      <c r="H335" t="s">
        <v>798</v>
      </c>
    </row>
    <row r="336" spans="1:30" x14ac:dyDescent="0.25">
      <c r="A336">
        <v>165</v>
      </c>
      <c r="B336">
        <v>3767</v>
      </c>
      <c r="C336" t="s">
        <v>799</v>
      </c>
      <c r="D336" t="s">
        <v>800</v>
      </c>
      <c r="E336" t="s">
        <v>77</v>
      </c>
      <c r="F336" t="s">
        <v>801</v>
      </c>
      <c r="G336" t="str">
        <f>"201401000815"</f>
        <v>201401000815</v>
      </c>
      <c r="H336" t="s">
        <v>802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60</v>
      </c>
      <c r="W336">
        <v>420</v>
      </c>
      <c r="X336">
        <v>0</v>
      </c>
      <c r="Z336">
        <v>0</v>
      </c>
      <c r="AA336">
        <v>0</v>
      </c>
      <c r="AB336">
        <v>24</v>
      </c>
      <c r="AC336">
        <v>408</v>
      </c>
      <c r="AD336" t="s">
        <v>803</v>
      </c>
    </row>
    <row r="337" spans="1:30" x14ac:dyDescent="0.25">
      <c r="H337" t="s">
        <v>804</v>
      </c>
    </row>
    <row r="338" spans="1:30" x14ac:dyDescent="0.25">
      <c r="A338">
        <v>166</v>
      </c>
      <c r="B338">
        <v>840</v>
      </c>
      <c r="C338" t="s">
        <v>805</v>
      </c>
      <c r="D338" t="s">
        <v>203</v>
      </c>
      <c r="E338" t="s">
        <v>135</v>
      </c>
      <c r="F338" t="s">
        <v>806</v>
      </c>
      <c r="G338" t="str">
        <f>"00270326"</f>
        <v>00270326</v>
      </c>
      <c r="H338" t="s">
        <v>802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60</v>
      </c>
      <c r="W338">
        <v>420</v>
      </c>
      <c r="X338">
        <v>0</v>
      </c>
      <c r="Z338">
        <v>0</v>
      </c>
      <c r="AA338">
        <v>0</v>
      </c>
      <c r="AB338">
        <v>24</v>
      </c>
      <c r="AC338">
        <v>408</v>
      </c>
      <c r="AD338" t="s">
        <v>803</v>
      </c>
    </row>
    <row r="339" spans="1:30" x14ac:dyDescent="0.25">
      <c r="H339">
        <v>1090</v>
      </c>
    </row>
    <row r="340" spans="1:30" x14ac:dyDescent="0.25">
      <c r="A340">
        <v>167</v>
      </c>
      <c r="B340">
        <v>3415</v>
      </c>
      <c r="C340" t="s">
        <v>807</v>
      </c>
      <c r="D340" t="s">
        <v>637</v>
      </c>
      <c r="E340" t="s">
        <v>808</v>
      </c>
      <c r="F340" t="s">
        <v>809</v>
      </c>
      <c r="G340" t="str">
        <f>"00344795"</f>
        <v>00344795</v>
      </c>
      <c r="H340">
        <v>803</v>
      </c>
      <c r="I340">
        <v>0</v>
      </c>
      <c r="J340">
        <v>0</v>
      </c>
      <c r="K340">
        <v>0</v>
      </c>
      <c r="L340">
        <v>260</v>
      </c>
      <c r="M340">
        <v>0</v>
      </c>
      <c r="N340">
        <v>70</v>
      </c>
      <c r="O340">
        <v>30</v>
      </c>
      <c r="P340">
        <v>50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>
        <v>1801</v>
      </c>
    </row>
    <row r="341" spans="1:30" x14ac:dyDescent="0.25">
      <c r="H341" t="s">
        <v>810</v>
      </c>
    </row>
    <row r="342" spans="1:30" x14ac:dyDescent="0.25">
      <c r="A342">
        <v>168</v>
      </c>
      <c r="B342">
        <v>415</v>
      </c>
      <c r="C342" t="s">
        <v>811</v>
      </c>
      <c r="D342" t="s">
        <v>252</v>
      </c>
      <c r="E342" t="s">
        <v>225</v>
      </c>
      <c r="F342" t="s">
        <v>812</v>
      </c>
      <c r="G342" t="str">
        <f>"201412002030"</f>
        <v>201412002030</v>
      </c>
      <c r="H342" t="s">
        <v>813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56</v>
      </c>
      <c r="W342">
        <v>392</v>
      </c>
      <c r="X342">
        <v>0</v>
      </c>
      <c r="Z342">
        <v>0</v>
      </c>
      <c r="AA342">
        <v>0</v>
      </c>
      <c r="AB342">
        <v>24</v>
      </c>
      <c r="AC342">
        <v>408</v>
      </c>
      <c r="AD342" t="s">
        <v>814</v>
      </c>
    </row>
    <row r="343" spans="1:30" x14ac:dyDescent="0.25">
      <c r="H343" t="s">
        <v>815</v>
      </c>
    </row>
    <row r="344" spans="1:30" x14ac:dyDescent="0.25">
      <c r="A344">
        <v>169</v>
      </c>
      <c r="B344">
        <v>372</v>
      </c>
      <c r="C344" t="s">
        <v>384</v>
      </c>
      <c r="D344" t="s">
        <v>14</v>
      </c>
      <c r="E344" t="s">
        <v>203</v>
      </c>
      <c r="F344" t="s">
        <v>816</v>
      </c>
      <c r="G344" t="str">
        <f>"00029533"</f>
        <v>00029533</v>
      </c>
      <c r="H344" t="s">
        <v>329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50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72</v>
      </c>
      <c r="W344">
        <v>504</v>
      </c>
      <c r="X344">
        <v>0</v>
      </c>
      <c r="Z344">
        <v>0</v>
      </c>
      <c r="AA344">
        <v>0</v>
      </c>
      <c r="AB344">
        <v>12</v>
      </c>
      <c r="AC344">
        <v>204</v>
      </c>
      <c r="AD344" t="s">
        <v>817</v>
      </c>
    </row>
    <row r="345" spans="1:30" x14ac:dyDescent="0.25">
      <c r="H345" t="s">
        <v>818</v>
      </c>
    </row>
    <row r="346" spans="1:30" x14ac:dyDescent="0.25">
      <c r="A346">
        <v>170</v>
      </c>
      <c r="B346">
        <v>2914</v>
      </c>
      <c r="C346" t="s">
        <v>819</v>
      </c>
      <c r="D346" t="s">
        <v>820</v>
      </c>
      <c r="E346" t="s">
        <v>583</v>
      </c>
      <c r="F346" t="s">
        <v>821</v>
      </c>
      <c r="G346" t="str">
        <f>"00257722"</f>
        <v>00257722</v>
      </c>
      <c r="H346" t="s">
        <v>822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66</v>
      </c>
      <c r="W346">
        <v>462</v>
      </c>
      <c r="X346">
        <v>0</v>
      </c>
      <c r="Z346">
        <v>0</v>
      </c>
      <c r="AA346">
        <v>0</v>
      </c>
      <c r="AB346">
        <v>18</v>
      </c>
      <c r="AC346">
        <v>306</v>
      </c>
      <c r="AD346" t="s">
        <v>823</v>
      </c>
    </row>
    <row r="347" spans="1:30" x14ac:dyDescent="0.25">
      <c r="H347" t="s">
        <v>824</v>
      </c>
    </row>
    <row r="348" spans="1:30" x14ac:dyDescent="0.25">
      <c r="A348">
        <v>171</v>
      </c>
      <c r="B348">
        <v>2083</v>
      </c>
      <c r="C348" t="s">
        <v>825</v>
      </c>
      <c r="D348" t="s">
        <v>28</v>
      </c>
      <c r="E348" t="s">
        <v>59</v>
      </c>
      <c r="F348" t="s">
        <v>826</v>
      </c>
      <c r="G348" t="str">
        <f>"00252305"</f>
        <v>00252305</v>
      </c>
      <c r="H348" t="s">
        <v>737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60</v>
      </c>
      <c r="W348">
        <v>420</v>
      </c>
      <c r="X348">
        <v>0</v>
      </c>
      <c r="Z348">
        <v>0</v>
      </c>
      <c r="AA348">
        <v>0</v>
      </c>
      <c r="AB348">
        <v>24</v>
      </c>
      <c r="AC348">
        <v>408</v>
      </c>
      <c r="AD348" t="s">
        <v>827</v>
      </c>
    </row>
    <row r="349" spans="1:30" x14ac:dyDescent="0.25">
      <c r="H349" t="s">
        <v>828</v>
      </c>
    </row>
    <row r="350" spans="1:30" x14ac:dyDescent="0.25">
      <c r="A350">
        <v>172</v>
      </c>
      <c r="B350">
        <v>4785</v>
      </c>
      <c r="C350" t="s">
        <v>829</v>
      </c>
      <c r="D350" t="s">
        <v>830</v>
      </c>
      <c r="E350" t="s">
        <v>59</v>
      </c>
      <c r="F350" t="s">
        <v>831</v>
      </c>
      <c r="G350" t="str">
        <f>"201504003356"</f>
        <v>201504003356</v>
      </c>
      <c r="H350" t="s">
        <v>832</v>
      </c>
      <c r="I350">
        <v>0</v>
      </c>
      <c r="J350">
        <v>0</v>
      </c>
      <c r="K350">
        <v>0</v>
      </c>
      <c r="L350">
        <v>0</v>
      </c>
      <c r="M350">
        <v>100</v>
      </c>
      <c r="N350">
        <v>70</v>
      </c>
      <c r="O350">
        <v>70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62</v>
      </c>
      <c r="W350">
        <v>434</v>
      </c>
      <c r="X350">
        <v>0</v>
      </c>
      <c r="Z350">
        <v>0</v>
      </c>
      <c r="AA350">
        <v>0</v>
      </c>
      <c r="AB350">
        <v>22</v>
      </c>
      <c r="AC350">
        <v>374</v>
      </c>
      <c r="AD350" t="s">
        <v>833</v>
      </c>
    </row>
    <row r="351" spans="1:30" x14ac:dyDescent="0.25">
      <c r="H351" t="s">
        <v>834</v>
      </c>
    </row>
    <row r="352" spans="1:30" x14ac:dyDescent="0.25">
      <c r="A352">
        <v>173</v>
      </c>
      <c r="B352">
        <v>667</v>
      </c>
      <c r="C352" t="s">
        <v>835</v>
      </c>
      <c r="D352" t="s">
        <v>539</v>
      </c>
      <c r="E352" t="s">
        <v>77</v>
      </c>
      <c r="F352" t="s">
        <v>836</v>
      </c>
      <c r="G352" t="str">
        <f>"00001768"</f>
        <v>00001768</v>
      </c>
      <c r="H352" t="s">
        <v>115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30</v>
      </c>
      <c r="S352">
        <v>0</v>
      </c>
      <c r="T352">
        <v>0</v>
      </c>
      <c r="U352">
        <v>0</v>
      </c>
      <c r="V352">
        <v>76</v>
      </c>
      <c r="W352">
        <v>532</v>
      </c>
      <c r="X352">
        <v>0</v>
      </c>
      <c r="Z352">
        <v>0</v>
      </c>
      <c r="AA352">
        <v>0</v>
      </c>
      <c r="AB352">
        <v>8</v>
      </c>
      <c r="AC352">
        <v>136</v>
      </c>
      <c r="AD352" t="s">
        <v>837</v>
      </c>
    </row>
    <row r="353" spans="1:30" x14ac:dyDescent="0.25">
      <c r="H353" t="s">
        <v>838</v>
      </c>
    </row>
    <row r="354" spans="1:30" x14ac:dyDescent="0.25">
      <c r="A354">
        <v>174</v>
      </c>
      <c r="B354">
        <v>1072</v>
      </c>
      <c r="C354" t="s">
        <v>839</v>
      </c>
      <c r="D354" t="s">
        <v>423</v>
      </c>
      <c r="E354" t="s">
        <v>840</v>
      </c>
      <c r="F354" t="s">
        <v>841</v>
      </c>
      <c r="G354" t="str">
        <f>"200712005763"</f>
        <v>200712005763</v>
      </c>
      <c r="H354" t="s">
        <v>842</v>
      </c>
      <c r="I354">
        <v>150</v>
      </c>
      <c r="J354">
        <v>0</v>
      </c>
      <c r="K354">
        <v>0</v>
      </c>
      <c r="L354">
        <v>0</v>
      </c>
      <c r="M354">
        <v>100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60</v>
      </c>
      <c r="W354">
        <v>420</v>
      </c>
      <c r="X354">
        <v>0</v>
      </c>
      <c r="Z354">
        <v>0</v>
      </c>
      <c r="AA354">
        <v>0</v>
      </c>
      <c r="AB354">
        <v>24</v>
      </c>
      <c r="AC354">
        <v>408</v>
      </c>
      <c r="AD354" t="s">
        <v>843</v>
      </c>
    </row>
    <row r="355" spans="1:30" x14ac:dyDescent="0.25">
      <c r="H355" t="s">
        <v>844</v>
      </c>
    </row>
    <row r="356" spans="1:30" x14ac:dyDescent="0.25">
      <c r="A356">
        <v>175</v>
      </c>
      <c r="B356">
        <v>1813</v>
      </c>
      <c r="C356" t="s">
        <v>845</v>
      </c>
      <c r="D356" t="s">
        <v>148</v>
      </c>
      <c r="E356" t="s">
        <v>135</v>
      </c>
      <c r="F356" t="s">
        <v>846</v>
      </c>
      <c r="G356" t="str">
        <f>"00027940"</f>
        <v>00027940</v>
      </c>
      <c r="H356">
        <v>935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>
        <v>1793</v>
      </c>
    </row>
    <row r="357" spans="1:30" x14ac:dyDescent="0.25">
      <c r="H357" t="s">
        <v>847</v>
      </c>
    </row>
    <row r="358" spans="1:30" x14ac:dyDescent="0.25">
      <c r="A358">
        <v>176</v>
      </c>
      <c r="B358">
        <v>1881</v>
      </c>
      <c r="C358" t="s">
        <v>848</v>
      </c>
      <c r="D358" t="s">
        <v>142</v>
      </c>
      <c r="E358" t="s">
        <v>59</v>
      </c>
      <c r="F358" t="s">
        <v>849</v>
      </c>
      <c r="G358" t="str">
        <f>"201406013011"</f>
        <v>201406013011</v>
      </c>
      <c r="H358" t="s">
        <v>850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60</v>
      </c>
      <c r="W358">
        <v>420</v>
      </c>
      <c r="X358">
        <v>0</v>
      </c>
      <c r="Z358">
        <v>0</v>
      </c>
      <c r="AA358">
        <v>0</v>
      </c>
      <c r="AB358">
        <v>24</v>
      </c>
      <c r="AC358">
        <v>408</v>
      </c>
      <c r="AD358" t="s">
        <v>851</v>
      </c>
    </row>
    <row r="359" spans="1:30" x14ac:dyDescent="0.25">
      <c r="H359" t="s">
        <v>63</v>
      </c>
    </row>
    <row r="360" spans="1:30" x14ac:dyDescent="0.25">
      <c r="A360">
        <v>177</v>
      </c>
      <c r="B360">
        <v>4448</v>
      </c>
      <c r="C360" t="s">
        <v>852</v>
      </c>
      <c r="D360" t="s">
        <v>702</v>
      </c>
      <c r="E360" t="s">
        <v>83</v>
      </c>
      <c r="F360" t="s">
        <v>853</v>
      </c>
      <c r="G360" t="str">
        <f>"200805001419"</f>
        <v>200805001419</v>
      </c>
      <c r="H360" t="s">
        <v>74</v>
      </c>
      <c r="I360">
        <v>150</v>
      </c>
      <c r="J360">
        <v>0</v>
      </c>
      <c r="K360">
        <v>0</v>
      </c>
      <c r="L360">
        <v>200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854</v>
      </c>
    </row>
    <row r="361" spans="1:30" x14ac:dyDescent="0.25">
      <c r="H361" t="s">
        <v>855</v>
      </c>
    </row>
    <row r="362" spans="1:30" x14ac:dyDescent="0.25">
      <c r="A362">
        <v>178</v>
      </c>
      <c r="B362">
        <v>526</v>
      </c>
      <c r="C362" t="s">
        <v>856</v>
      </c>
      <c r="D362" t="s">
        <v>373</v>
      </c>
      <c r="E362" t="s">
        <v>77</v>
      </c>
      <c r="F362" t="s">
        <v>857</v>
      </c>
      <c r="G362" t="str">
        <f>"00018346"</f>
        <v>00018346</v>
      </c>
      <c r="H362" t="s">
        <v>61</v>
      </c>
      <c r="I362">
        <v>0</v>
      </c>
      <c r="J362">
        <v>0</v>
      </c>
      <c r="K362">
        <v>0</v>
      </c>
      <c r="L362">
        <v>260</v>
      </c>
      <c r="M362">
        <v>0</v>
      </c>
      <c r="N362">
        <v>70</v>
      </c>
      <c r="O362">
        <v>0</v>
      </c>
      <c r="P362">
        <v>50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858</v>
      </c>
    </row>
    <row r="363" spans="1:30" x14ac:dyDescent="0.25">
      <c r="H363" t="s">
        <v>859</v>
      </c>
    </row>
    <row r="364" spans="1:30" x14ac:dyDescent="0.25">
      <c r="A364">
        <v>179</v>
      </c>
      <c r="B364">
        <v>446</v>
      </c>
      <c r="C364" t="s">
        <v>860</v>
      </c>
      <c r="D364" t="s">
        <v>77</v>
      </c>
      <c r="E364" t="s">
        <v>59</v>
      </c>
      <c r="F364" t="s">
        <v>861</v>
      </c>
      <c r="G364" t="str">
        <f>"200802010463"</f>
        <v>200802010463</v>
      </c>
      <c r="H364" t="s">
        <v>862</v>
      </c>
      <c r="I364">
        <v>0</v>
      </c>
      <c r="J364">
        <v>400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863</v>
      </c>
    </row>
    <row r="365" spans="1:30" x14ac:dyDescent="0.25">
      <c r="H365" t="s">
        <v>864</v>
      </c>
    </row>
    <row r="366" spans="1:30" x14ac:dyDescent="0.25">
      <c r="A366">
        <v>180</v>
      </c>
      <c r="B366">
        <v>1327</v>
      </c>
      <c r="C366" t="s">
        <v>865</v>
      </c>
      <c r="D366" t="s">
        <v>89</v>
      </c>
      <c r="E366" t="s">
        <v>77</v>
      </c>
      <c r="F366" t="s">
        <v>866</v>
      </c>
      <c r="G366" t="str">
        <f>"00319876"</f>
        <v>00319876</v>
      </c>
      <c r="H366" t="s">
        <v>365</v>
      </c>
      <c r="I366">
        <v>0</v>
      </c>
      <c r="J366">
        <v>0</v>
      </c>
      <c r="K366">
        <v>0</v>
      </c>
      <c r="L366">
        <v>200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79</v>
      </c>
      <c r="W366">
        <v>553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867</v>
      </c>
    </row>
    <row r="367" spans="1:30" x14ac:dyDescent="0.25">
      <c r="H367" t="s">
        <v>868</v>
      </c>
    </row>
    <row r="368" spans="1:30" x14ac:dyDescent="0.25">
      <c r="A368">
        <v>181</v>
      </c>
      <c r="B368">
        <v>1121</v>
      </c>
      <c r="C368" t="s">
        <v>869</v>
      </c>
      <c r="D368" t="s">
        <v>42</v>
      </c>
      <c r="E368" t="s">
        <v>352</v>
      </c>
      <c r="F368" t="s">
        <v>870</v>
      </c>
      <c r="G368" t="str">
        <f>"201411001507"</f>
        <v>201411001507</v>
      </c>
      <c r="H368" t="s">
        <v>871</v>
      </c>
      <c r="I368">
        <v>0</v>
      </c>
      <c r="J368">
        <v>0</v>
      </c>
      <c r="K368">
        <v>0</v>
      </c>
      <c r="L368">
        <v>200</v>
      </c>
      <c r="M368">
        <v>30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60</v>
      </c>
      <c r="W368">
        <v>420</v>
      </c>
      <c r="X368">
        <v>0</v>
      </c>
      <c r="Z368">
        <v>1</v>
      </c>
      <c r="AA368">
        <v>0</v>
      </c>
      <c r="AB368">
        <v>24</v>
      </c>
      <c r="AC368">
        <v>408</v>
      </c>
      <c r="AD368" t="s">
        <v>872</v>
      </c>
    </row>
    <row r="369" spans="1:30" x14ac:dyDescent="0.25">
      <c r="H369" t="s">
        <v>873</v>
      </c>
    </row>
    <row r="370" spans="1:30" x14ac:dyDescent="0.25">
      <c r="A370">
        <v>182</v>
      </c>
      <c r="B370">
        <v>2983</v>
      </c>
      <c r="C370" t="s">
        <v>874</v>
      </c>
      <c r="D370" t="s">
        <v>875</v>
      </c>
      <c r="E370" t="s">
        <v>300</v>
      </c>
      <c r="F370" t="s">
        <v>876</v>
      </c>
      <c r="G370" t="str">
        <f>"00044879"</f>
        <v>00044879</v>
      </c>
      <c r="H370" t="s">
        <v>877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878</v>
      </c>
    </row>
    <row r="371" spans="1:30" x14ac:dyDescent="0.25">
      <c r="H371" t="s">
        <v>879</v>
      </c>
    </row>
    <row r="372" spans="1:30" x14ac:dyDescent="0.25">
      <c r="A372">
        <v>183</v>
      </c>
      <c r="B372">
        <v>4077</v>
      </c>
      <c r="C372" t="s">
        <v>880</v>
      </c>
      <c r="D372" t="s">
        <v>357</v>
      </c>
      <c r="E372" t="s">
        <v>135</v>
      </c>
      <c r="F372" t="s">
        <v>881</v>
      </c>
      <c r="G372" t="str">
        <f>"200810000154"</f>
        <v>200810000154</v>
      </c>
      <c r="H372" t="s">
        <v>882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70</v>
      </c>
      <c r="O372">
        <v>0</v>
      </c>
      <c r="P372">
        <v>70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878</v>
      </c>
    </row>
    <row r="373" spans="1:30" x14ac:dyDescent="0.25">
      <c r="H373" t="s">
        <v>883</v>
      </c>
    </row>
    <row r="374" spans="1:30" x14ac:dyDescent="0.25">
      <c r="A374">
        <v>184</v>
      </c>
      <c r="B374">
        <v>767</v>
      </c>
      <c r="C374" t="s">
        <v>884</v>
      </c>
      <c r="D374" t="s">
        <v>278</v>
      </c>
      <c r="E374" t="s">
        <v>203</v>
      </c>
      <c r="F374" t="s">
        <v>885</v>
      </c>
      <c r="G374" t="str">
        <f>"200803000817"</f>
        <v>200803000817</v>
      </c>
      <c r="H374" t="s">
        <v>344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70</v>
      </c>
      <c r="O374">
        <v>0</v>
      </c>
      <c r="P374">
        <v>0</v>
      </c>
      <c r="Q374">
        <v>30</v>
      </c>
      <c r="R374">
        <v>70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886</v>
      </c>
    </row>
    <row r="375" spans="1:30" x14ac:dyDescent="0.25">
      <c r="H375" t="s">
        <v>887</v>
      </c>
    </row>
    <row r="376" spans="1:30" x14ac:dyDescent="0.25">
      <c r="A376">
        <v>185</v>
      </c>
      <c r="B376">
        <v>4654</v>
      </c>
      <c r="C376" t="s">
        <v>888</v>
      </c>
      <c r="D376" t="s">
        <v>889</v>
      </c>
      <c r="E376" t="s">
        <v>59</v>
      </c>
      <c r="F376" t="s">
        <v>890</v>
      </c>
      <c r="G376" t="str">
        <f>"00018158"</f>
        <v>00018158</v>
      </c>
      <c r="H376" t="s">
        <v>891</v>
      </c>
      <c r="I376">
        <v>0</v>
      </c>
      <c r="J376">
        <v>0</v>
      </c>
      <c r="K376">
        <v>0</v>
      </c>
      <c r="L376">
        <v>200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60</v>
      </c>
      <c r="W376">
        <v>420</v>
      </c>
      <c r="X376">
        <v>0</v>
      </c>
      <c r="Z376">
        <v>0</v>
      </c>
      <c r="AA376">
        <v>0</v>
      </c>
      <c r="AB376">
        <v>24</v>
      </c>
      <c r="AC376">
        <v>408</v>
      </c>
      <c r="AD376" t="s">
        <v>892</v>
      </c>
    </row>
    <row r="377" spans="1:30" x14ac:dyDescent="0.25">
      <c r="H377" t="s">
        <v>893</v>
      </c>
    </row>
    <row r="378" spans="1:30" x14ac:dyDescent="0.25">
      <c r="A378">
        <v>186</v>
      </c>
      <c r="B378">
        <v>5181</v>
      </c>
      <c r="C378" t="s">
        <v>894</v>
      </c>
      <c r="D378" t="s">
        <v>252</v>
      </c>
      <c r="E378" t="s">
        <v>148</v>
      </c>
      <c r="F378" t="s">
        <v>895</v>
      </c>
      <c r="G378" t="str">
        <f>"201412004654"</f>
        <v>201412004654</v>
      </c>
      <c r="H378" t="s">
        <v>633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0</v>
      </c>
      <c r="O378">
        <v>50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60</v>
      </c>
      <c r="W378">
        <v>420</v>
      </c>
      <c r="X378">
        <v>0</v>
      </c>
      <c r="Z378">
        <v>0</v>
      </c>
      <c r="AA378">
        <v>0</v>
      </c>
      <c r="AB378">
        <v>24</v>
      </c>
      <c r="AC378">
        <v>408</v>
      </c>
      <c r="AD378" t="s">
        <v>896</v>
      </c>
    </row>
    <row r="379" spans="1:30" x14ac:dyDescent="0.25">
      <c r="H379" t="s">
        <v>897</v>
      </c>
    </row>
    <row r="380" spans="1:30" x14ac:dyDescent="0.25">
      <c r="A380">
        <v>187</v>
      </c>
      <c r="B380">
        <v>4110</v>
      </c>
      <c r="C380" t="s">
        <v>898</v>
      </c>
      <c r="D380" t="s">
        <v>164</v>
      </c>
      <c r="E380" t="s">
        <v>899</v>
      </c>
      <c r="F380" t="s">
        <v>900</v>
      </c>
      <c r="G380" t="str">
        <f>"201511028989"</f>
        <v>201511028989</v>
      </c>
      <c r="H380" t="s">
        <v>901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50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68</v>
      </c>
      <c r="W380">
        <v>476</v>
      </c>
      <c r="X380">
        <v>0</v>
      </c>
      <c r="Z380">
        <v>0</v>
      </c>
      <c r="AA380">
        <v>0</v>
      </c>
      <c r="AB380">
        <v>16</v>
      </c>
      <c r="AC380">
        <v>272</v>
      </c>
      <c r="AD380" t="s">
        <v>902</v>
      </c>
    </row>
    <row r="381" spans="1:30" x14ac:dyDescent="0.25">
      <c r="H381" t="s">
        <v>903</v>
      </c>
    </row>
    <row r="382" spans="1:30" x14ac:dyDescent="0.25">
      <c r="A382">
        <v>188</v>
      </c>
      <c r="B382">
        <v>565</v>
      </c>
      <c r="C382" t="s">
        <v>904</v>
      </c>
      <c r="D382" t="s">
        <v>135</v>
      </c>
      <c r="E382" t="s">
        <v>253</v>
      </c>
      <c r="F382" t="s">
        <v>905</v>
      </c>
      <c r="G382" t="str">
        <f>"00286015"</f>
        <v>00286015</v>
      </c>
      <c r="H382" t="s">
        <v>906</v>
      </c>
      <c r="I382">
        <v>150</v>
      </c>
      <c r="J382">
        <v>0</v>
      </c>
      <c r="K382">
        <v>0</v>
      </c>
      <c r="L382">
        <v>200</v>
      </c>
      <c r="M382">
        <v>30</v>
      </c>
      <c r="N382">
        <v>70</v>
      </c>
      <c r="O382">
        <v>30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907</v>
      </c>
    </row>
    <row r="383" spans="1:30" x14ac:dyDescent="0.25">
      <c r="H383" t="s">
        <v>908</v>
      </c>
    </row>
    <row r="384" spans="1:30" x14ac:dyDescent="0.25">
      <c r="A384">
        <v>189</v>
      </c>
      <c r="B384">
        <v>3444</v>
      </c>
      <c r="C384" t="s">
        <v>909</v>
      </c>
      <c r="D384" t="s">
        <v>77</v>
      </c>
      <c r="E384" t="s">
        <v>910</v>
      </c>
      <c r="F384" t="s">
        <v>911</v>
      </c>
      <c r="G384" t="str">
        <f>"00254527"</f>
        <v>00254527</v>
      </c>
      <c r="H384" t="s">
        <v>381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66</v>
      </c>
      <c r="W384">
        <v>462</v>
      </c>
      <c r="X384">
        <v>0</v>
      </c>
      <c r="Z384">
        <v>0</v>
      </c>
      <c r="AA384">
        <v>0</v>
      </c>
      <c r="AB384">
        <v>18</v>
      </c>
      <c r="AC384">
        <v>306</v>
      </c>
      <c r="AD384" t="s">
        <v>912</v>
      </c>
    </row>
    <row r="385" spans="1:30" x14ac:dyDescent="0.25">
      <c r="H385" t="s">
        <v>913</v>
      </c>
    </row>
    <row r="386" spans="1:30" x14ac:dyDescent="0.25">
      <c r="A386">
        <v>190</v>
      </c>
      <c r="B386">
        <v>4297</v>
      </c>
      <c r="C386" t="s">
        <v>914</v>
      </c>
      <c r="D386" t="s">
        <v>28</v>
      </c>
      <c r="E386" t="s">
        <v>352</v>
      </c>
      <c r="F386" t="s">
        <v>915</v>
      </c>
      <c r="G386" t="str">
        <f>"201005000163"</f>
        <v>201005000163</v>
      </c>
      <c r="H386" t="s">
        <v>916</v>
      </c>
      <c r="I386">
        <v>150</v>
      </c>
      <c r="J386">
        <v>0</v>
      </c>
      <c r="K386">
        <v>0</v>
      </c>
      <c r="L386">
        <v>200</v>
      </c>
      <c r="M386">
        <v>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917</v>
      </c>
    </row>
    <row r="387" spans="1:30" x14ac:dyDescent="0.25">
      <c r="H387" t="s">
        <v>918</v>
      </c>
    </row>
    <row r="388" spans="1:30" x14ac:dyDescent="0.25">
      <c r="A388">
        <v>191</v>
      </c>
      <c r="B388">
        <v>5142</v>
      </c>
      <c r="C388" t="s">
        <v>919</v>
      </c>
      <c r="D388" t="s">
        <v>920</v>
      </c>
      <c r="E388" t="s">
        <v>103</v>
      </c>
      <c r="F388" t="s">
        <v>921</v>
      </c>
      <c r="G388" t="str">
        <f>"00075124"</f>
        <v>00075124</v>
      </c>
      <c r="H388" t="s">
        <v>302</v>
      </c>
      <c r="I388">
        <v>0</v>
      </c>
      <c r="J388">
        <v>0</v>
      </c>
      <c r="K388">
        <v>0</v>
      </c>
      <c r="L388">
        <v>260</v>
      </c>
      <c r="M388">
        <v>0</v>
      </c>
      <c r="N388">
        <v>70</v>
      </c>
      <c r="O388">
        <v>0</v>
      </c>
      <c r="P388">
        <v>0</v>
      </c>
      <c r="Q388">
        <v>30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922</v>
      </c>
    </row>
    <row r="389" spans="1:30" x14ac:dyDescent="0.25">
      <c r="H389" t="s">
        <v>923</v>
      </c>
    </row>
    <row r="390" spans="1:30" x14ac:dyDescent="0.25">
      <c r="A390">
        <v>192</v>
      </c>
      <c r="B390">
        <v>2863</v>
      </c>
      <c r="C390" t="s">
        <v>924</v>
      </c>
      <c r="D390" t="s">
        <v>925</v>
      </c>
      <c r="E390" t="s">
        <v>83</v>
      </c>
      <c r="F390" t="s">
        <v>926</v>
      </c>
      <c r="G390" t="str">
        <f>"00324477"</f>
        <v>00324477</v>
      </c>
      <c r="H390" t="s">
        <v>927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0</v>
      </c>
      <c r="P390">
        <v>50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928</v>
      </c>
    </row>
    <row r="391" spans="1:30" x14ac:dyDescent="0.25">
      <c r="H391" t="s">
        <v>929</v>
      </c>
    </row>
    <row r="392" spans="1:30" x14ac:dyDescent="0.25">
      <c r="A392">
        <v>193</v>
      </c>
      <c r="B392">
        <v>5353</v>
      </c>
      <c r="C392" t="s">
        <v>930</v>
      </c>
      <c r="D392" t="s">
        <v>203</v>
      </c>
      <c r="E392" t="s">
        <v>225</v>
      </c>
      <c r="F392" t="s">
        <v>931</v>
      </c>
      <c r="G392" t="str">
        <f>"00369451"</f>
        <v>00369451</v>
      </c>
      <c r="H392" t="s">
        <v>375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62</v>
      </c>
      <c r="W392">
        <v>434</v>
      </c>
      <c r="X392">
        <v>0</v>
      </c>
      <c r="Z392">
        <v>0</v>
      </c>
      <c r="AA392">
        <v>0</v>
      </c>
      <c r="AB392">
        <v>22</v>
      </c>
      <c r="AC392">
        <v>374</v>
      </c>
      <c r="AD392" t="s">
        <v>932</v>
      </c>
    </row>
    <row r="393" spans="1:30" x14ac:dyDescent="0.25">
      <c r="H393" t="s">
        <v>933</v>
      </c>
    </row>
    <row r="394" spans="1:30" x14ac:dyDescent="0.25">
      <c r="A394">
        <v>194</v>
      </c>
      <c r="B394">
        <v>3462</v>
      </c>
      <c r="C394" t="s">
        <v>934</v>
      </c>
      <c r="D394" t="s">
        <v>77</v>
      </c>
      <c r="E394" t="s">
        <v>135</v>
      </c>
      <c r="F394" t="s">
        <v>935</v>
      </c>
      <c r="G394" t="str">
        <f>"201504002558"</f>
        <v>201504002558</v>
      </c>
      <c r="H394" t="s">
        <v>936</v>
      </c>
      <c r="I394">
        <v>150</v>
      </c>
      <c r="J394">
        <v>0</v>
      </c>
      <c r="K394">
        <v>0</v>
      </c>
      <c r="L394">
        <v>200</v>
      </c>
      <c r="M394">
        <v>0</v>
      </c>
      <c r="N394">
        <v>30</v>
      </c>
      <c r="O394">
        <v>30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937</v>
      </c>
    </row>
    <row r="395" spans="1:30" x14ac:dyDescent="0.25">
      <c r="H395" t="s">
        <v>938</v>
      </c>
    </row>
    <row r="396" spans="1:30" x14ac:dyDescent="0.25">
      <c r="A396">
        <v>195</v>
      </c>
      <c r="B396">
        <v>1981</v>
      </c>
      <c r="C396" t="s">
        <v>939</v>
      </c>
      <c r="D396" t="s">
        <v>164</v>
      </c>
      <c r="E396" t="s">
        <v>28</v>
      </c>
      <c r="F396" t="s">
        <v>940</v>
      </c>
      <c r="G396" t="str">
        <f>"00145015"</f>
        <v>00145015</v>
      </c>
      <c r="H396" t="s">
        <v>941</v>
      </c>
      <c r="I396">
        <v>0</v>
      </c>
      <c r="J396">
        <v>0</v>
      </c>
      <c r="K396">
        <v>200</v>
      </c>
      <c r="L396">
        <v>0</v>
      </c>
      <c r="M396">
        <v>0</v>
      </c>
      <c r="N396">
        <v>70</v>
      </c>
      <c r="O396">
        <v>30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72</v>
      </c>
      <c r="W396">
        <v>504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942</v>
      </c>
    </row>
    <row r="397" spans="1:30" x14ac:dyDescent="0.25">
      <c r="H397" t="s">
        <v>943</v>
      </c>
    </row>
    <row r="398" spans="1:30" x14ac:dyDescent="0.25">
      <c r="A398">
        <v>196</v>
      </c>
      <c r="B398">
        <v>326</v>
      </c>
      <c r="C398" t="s">
        <v>944</v>
      </c>
      <c r="D398" t="s">
        <v>28</v>
      </c>
      <c r="E398" t="s">
        <v>135</v>
      </c>
      <c r="F398" t="s">
        <v>945</v>
      </c>
      <c r="G398" t="str">
        <f>"201411002110"</f>
        <v>201411002110</v>
      </c>
      <c r="H398" t="s">
        <v>946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63</v>
      </c>
      <c r="W398">
        <v>441</v>
      </c>
      <c r="X398">
        <v>0</v>
      </c>
      <c r="Z398">
        <v>0</v>
      </c>
      <c r="AA398">
        <v>0</v>
      </c>
      <c r="AB398">
        <v>21</v>
      </c>
      <c r="AC398">
        <v>357</v>
      </c>
      <c r="AD398" t="s">
        <v>942</v>
      </c>
    </row>
    <row r="399" spans="1:30" x14ac:dyDescent="0.25">
      <c r="H399" t="s">
        <v>947</v>
      </c>
    </row>
    <row r="400" spans="1:30" x14ac:dyDescent="0.25">
      <c r="A400">
        <v>197</v>
      </c>
      <c r="B400">
        <v>3424</v>
      </c>
      <c r="C400" t="s">
        <v>948</v>
      </c>
      <c r="D400" t="s">
        <v>702</v>
      </c>
      <c r="E400" t="s">
        <v>148</v>
      </c>
      <c r="F400" t="s">
        <v>949</v>
      </c>
      <c r="G400" t="str">
        <f>"201504002761"</f>
        <v>201504002761</v>
      </c>
      <c r="H400">
        <v>924</v>
      </c>
      <c r="I400">
        <v>150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30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1</v>
      </c>
      <c r="AA400">
        <v>0</v>
      </c>
      <c r="AB400">
        <v>0</v>
      </c>
      <c r="AC400">
        <v>0</v>
      </c>
      <c r="AD400">
        <v>1762</v>
      </c>
    </row>
    <row r="401" spans="1:30" x14ac:dyDescent="0.25">
      <c r="H401">
        <v>1072</v>
      </c>
    </row>
    <row r="402" spans="1:30" x14ac:dyDescent="0.25">
      <c r="A402">
        <v>198</v>
      </c>
      <c r="B402">
        <v>240</v>
      </c>
      <c r="C402" t="s">
        <v>950</v>
      </c>
      <c r="D402" t="s">
        <v>951</v>
      </c>
      <c r="E402" t="s">
        <v>174</v>
      </c>
      <c r="F402" t="s">
        <v>952</v>
      </c>
      <c r="G402" t="str">
        <f>"200906000419"</f>
        <v>200906000419</v>
      </c>
      <c r="H402">
        <v>814</v>
      </c>
      <c r="I402">
        <v>0</v>
      </c>
      <c r="J402">
        <v>0</v>
      </c>
      <c r="K402">
        <v>0</v>
      </c>
      <c r="L402">
        <v>200</v>
      </c>
      <c r="M402">
        <v>0</v>
      </c>
      <c r="N402">
        <v>70</v>
      </c>
      <c r="O402">
        <v>0</v>
      </c>
      <c r="P402">
        <v>0</v>
      </c>
      <c r="Q402">
        <v>30</v>
      </c>
      <c r="R402">
        <v>30</v>
      </c>
      <c r="S402">
        <v>0</v>
      </c>
      <c r="T402">
        <v>30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>
        <v>1762</v>
      </c>
    </row>
    <row r="403" spans="1:30" x14ac:dyDescent="0.25">
      <c r="H403" t="s">
        <v>953</v>
      </c>
    </row>
    <row r="404" spans="1:30" x14ac:dyDescent="0.25">
      <c r="A404">
        <v>199</v>
      </c>
      <c r="B404">
        <v>3914</v>
      </c>
      <c r="C404" t="s">
        <v>954</v>
      </c>
      <c r="D404" t="s">
        <v>352</v>
      </c>
      <c r="E404" t="s">
        <v>955</v>
      </c>
      <c r="F404" t="s">
        <v>956</v>
      </c>
      <c r="G404" t="str">
        <f>"00360357"</f>
        <v>00360357</v>
      </c>
      <c r="H404" t="s">
        <v>957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60</v>
      </c>
      <c r="W404">
        <v>420</v>
      </c>
      <c r="X404">
        <v>0</v>
      </c>
      <c r="Z404">
        <v>0</v>
      </c>
      <c r="AA404">
        <v>0</v>
      </c>
      <c r="AB404">
        <v>24</v>
      </c>
      <c r="AC404">
        <v>408</v>
      </c>
      <c r="AD404" t="s">
        <v>958</v>
      </c>
    </row>
    <row r="405" spans="1:30" x14ac:dyDescent="0.25">
      <c r="H405" t="s">
        <v>959</v>
      </c>
    </row>
    <row r="406" spans="1:30" x14ac:dyDescent="0.25">
      <c r="A406">
        <v>200</v>
      </c>
      <c r="B406">
        <v>3228</v>
      </c>
      <c r="C406" t="s">
        <v>960</v>
      </c>
      <c r="D406" t="s">
        <v>14</v>
      </c>
      <c r="E406" t="s">
        <v>77</v>
      </c>
      <c r="F406" t="s">
        <v>961</v>
      </c>
      <c r="G406" t="str">
        <f>"00341149"</f>
        <v>00341149</v>
      </c>
      <c r="H406" t="s">
        <v>962</v>
      </c>
      <c r="I406">
        <v>0</v>
      </c>
      <c r="J406">
        <v>0</v>
      </c>
      <c r="K406">
        <v>0</v>
      </c>
      <c r="L406">
        <v>0</v>
      </c>
      <c r="M406">
        <v>100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70</v>
      </c>
      <c r="U406">
        <v>0</v>
      </c>
      <c r="V406">
        <v>60</v>
      </c>
      <c r="W406">
        <v>420</v>
      </c>
      <c r="X406">
        <v>0</v>
      </c>
      <c r="Z406">
        <v>0</v>
      </c>
      <c r="AA406">
        <v>0</v>
      </c>
      <c r="AB406">
        <v>24</v>
      </c>
      <c r="AC406">
        <v>408</v>
      </c>
      <c r="AD406" t="s">
        <v>963</v>
      </c>
    </row>
    <row r="407" spans="1:30" x14ac:dyDescent="0.25">
      <c r="H407" t="s">
        <v>964</v>
      </c>
    </row>
    <row r="408" spans="1:30" x14ac:dyDescent="0.25">
      <c r="A408">
        <v>201</v>
      </c>
      <c r="B408">
        <v>4498</v>
      </c>
      <c r="C408" t="s">
        <v>965</v>
      </c>
      <c r="D408" t="s">
        <v>293</v>
      </c>
      <c r="E408" t="s">
        <v>300</v>
      </c>
      <c r="F408" t="s">
        <v>966</v>
      </c>
      <c r="G408" t="str">
        <f>"00341967"</f>
        <v>00341967</v>
      </c>
      <c r="H408" t="s">
        <v>671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70</v>
      </c>
      <c r="O408">
        <v>0</v>
      </c>
      <c r="P408">
        <v>30</v>
      </c>
      <c r="Q408">
        <v>30</v>
      </c>
      <c r="R408">
        <v>70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967</v>
      </c>
    </row>
    <row r="409" spans="1:30" x14ac:dyDescent="0.25">
      <c r="H409" t="s">
        <v>968</v>
      </c>
    </row>
    <row r="410" spans="1:30" x14ac:dyDescent="0.25">
      <c r="A410">
        <v>202</v>
      </c>
      <c r="B410">
        <v>1697</v>
      </c>
      <c r="C410" t="s">
        <v>969</v>
      </c>
      <c r="D410" t="s">
        <v>42</v>
      </c>
      <c r="E410" t="s">
        <v>300</v>
      </c>
      <c r="F410" t="s">
        <v>970</v>
      </c>
      <c r="G410" t="str">
        <f>"00018262"</f>
        <v>00018262</v>
      </c>
      <c r="H410" t="s">
        <v>30</v>
      </c>
      <c r="I410">
        <v>0</v>
      </c>
      <c r="J410">
        <v>0</v>
      </c>
      <c r="K410">
        <v>0</v>
      </c>
      <c r="L410">
        <v>200</v>
      </c>
      <c r="M410">
        <v>30</v>
      </c>
      <c r="N410">
        <v>70</v>
      </c>
      <c r="O410">
        <v>0</v>
      </c>
      <c r="P410">
        <v>0</v>
      </c>
      <c r="Q410">
        <v>0</v>
      </c>
      <c r="R410">
        <v>30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971</v>
      </c>
    </row>
    <row r="411" spans="1:30" x14ac:dyDescent="0.25">
      <c r="H411" t="s">
        <v>972</v>
      </c>
    </row>
    <row r="412" spans="1:30" x14ac:dyDescent="0.25">
      <c r="A412">
        <v>203</v>
      </c>
      <c r="B412">
        <v>5244</v>
      </c>
      <c r="C412" t="s">
        <v>973</v>
      </c>
      <c r="D412" t="s">
        <v>357</v>
      </c>
      <c r="E412" t="s">
        <v>28</v>
      </c>
      <c r="F412" t="s">
        <v>974</v>
      </c>
      <c r="G412" t="str">
        <f>"00369947"</f>
        <v>00369947</v>
      </c>
      <c r="H412" t="s">
        <v>348</v>
      </c>
      <c r="I412">
        <v>0</v>
      </c>
      <c r="J412">
        <v>0</v>
      </c>
      <c r="K412">
        <v>0</v>
      </c>
      <c r="L412">
        <v>0</v>
      </c>
      <c r="M412">
        <v>100</v>
      </c>
      <c r="N412">
        <v>50</v>
      </c>
      <c r="O412">
        <v>0</v>
      </c>
      <c r="P412">
        <v>0</v>
      </c>
      <c r="Q412">
        <v>0</v>
      </c>
      <c r="R412">
        <v>30</v>
      </c>
      <c r="S412">
        <v>0</v>
      </c>
      <c r="T412">
        <v>0</v>
      </c>
      <c r="U412">
        <v>0</v>
      </c>
      <c r="V412">
        <v>60</v>
      </c>
      <c r="W412">
        <v>420</v>
      </c>
      <c r="X412">
        <v>0</v>
      </c>
      <c r="Z412">
        <v>0</v>
      </c>
      <c r="AA412">
        <v>0</v>
      </c>
      <c r="AB412">
        <v>24</v>
      </c>
      <c r="AC412">
        <v>408</v>
      </c>
      <c r="AD412" t="s">
        <v>975</v>
      </c>
    </row>
    <row r="413" spans="1:30" x14ac:dyDescent="0.25">
      <c r="H413" t="s">
        <v>976</v>
      </c>
    </row>
    <row r="414" spans="1:30" x14ac:dyDescent="0.25">
      <c r="A414">
        <v>204</v>
      </c>
      <c r="B414">
        <v>536</v>
      </c>
      <c r="C414" t="s">
        <v>977</v>
      </c>
      <c r="D414" t="s">
        <v>357</v>
      </c>
      <c r="E414" t="s">
        <v>978</v>
      </c>
      <c r="F414" t="s">
        <v>979</v>
      </c>
      <c r="G414" t="str">
        <f>"00025106"</f>
        <v>00025106</v>
      </c>
      <c r="H414" t="s">
        <v>980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70</v>
      </c>
      <c r="O414">
        <v>70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981</v>
      </c>
    </row>
    <row r="415" spans="1:30" x14ac:dyDescent="0.25">
      <c r="H415" t="s">
        <v>982</v>
      </c>
    </row>
    <row r="416" spans="1:30" x14ac:dyDescent="0.25">
      <c r="A416">
        <v>205</v>
      </c>
      <c r="B416">
        <v>2961</v>
      </c>
      <c r="C416" t="s">
        <v>983</v>
      </c>
      <c r="D416" t="s">
        <v>984</v>
      </c>
      <c r="E416" t="s">
        <v>59</v>
      </c>
      <c r="F416" t="s">
        <v>985</v>
      </c>
      <c r="G416" t="str">
        <f>"201507005291"</f>
        <v>201507005291</v>
      </c>
      <c r="H416" t="s">
        <v>986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30</v>
      </c>
      <c r="O416">
        <v>0</v>
      </c>
      <c r="P416">
        <v>50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47</v>
      </c>
      <c r="W416">
        <v>329</v>
      </c>
      <c r="X416">
        <v>0</v>
      </c>
      <c r="Z416">
        <v>0</v>
      </c>
      <c r="AA416">
        <v>0</v>
      </c>
      <c r="AB416">
        <v>21</v>
      </c>
      <c r="AC416">
        <v>357</v>
      </c>
      <c r="AD416" t="s">
        <v>987</v>
      </c>
    </row>
    <row r="417" spans="1:30" x14ac:dyDescent="0.25">
      <c r="H417" t="s">
        <v>988</v>
      </c>
    </row>
    <row r="418" spans="1:30" x14ac:dyDescent="0.25">
      <c r="A418">
        <v>206</v>
      </c>
      <c r="B418">
        <v>2978</v>
      </c>
      <c r="C418" t="s">
        <v>989</v>
      </c>
      <c r="D418" t="s">
        <v>990</v>
      </c>
      <c r="E418" t="s">
        <v>780</v>
      </c>
      <c r="F418" t="s">
        <v>991</v>
      </c>
      <c r="G418" t="str">
        <f>"200801000899"</f>
        <v>200801000899</v>
      </c>
      <c r="H418" t="s">
        <v>992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70</v>
      </c>
      <c r="O418">
        <v>0</v>
      </c>
      <c r="P418">
        <v>50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993</v>
      </c>
    </row>
    <row r="419" spans="1:30" x14ac:dyDescent="0.25">
      <c r="H419" t="s">
        <v>994</v>
      </c>
    </row>
    <row r="420" spans="1:30" x14ac:dyDescent="0.25">
      <c r="A420">
        <v>207</v>
      </c>
      <c r="B420">
        <v>4255</v>
      </c>
      <c r="C420" t="s">
        <v>995</v>
      </c>
      <c r="D420" t="s">
        <v>164</v>
      </c>
      <c r="E420" t="s">
        <v>77</v>
      </c>
      <c r="F420" t="s">
        <v>996</v>
      </c>
      <c r="G420" t="str">
        <f>"00019314"</f>
        <v>00019314</v>
      </c>
      <c r="H420" t="s">
        <v>205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70</v>
      </c>
      <c r="O420">
        <v>30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997</v>
      </c>
    </row>
    <row r="421" spans="1:30" x14ac:dyDescent="0.25">
      <c r="H421" t="s">
        <v>998</v>
      </c>
    </row>
    <row r="422" spans="1:30" x14ac:dyDescent="0.25">
      <c r="A422">
        <v>208</v>
      </c>
      <c r="B422">
        <v>2418</v>
      </c>
      <c r="C422" t="s">
        <v>999</v>
      </c>
      <c r="D422" t="s">
        <v>14</v>
      </c>
      <c r="E422" t="s">
        <v>77</v>
      </c>
      <c r="F422" t="s">
        <v>1000</v>
      </c>
      <c r="G422" t="str">
        <f>"00139766"</f>
        <v>00139766</v>
      </c>
      <c r="H422">
        <v>825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0</v>
      </c>
      <c r="P422">
        <v>70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>
        <v>1753</v>
      </c>
    </row>
    <row r="423" spans="1:30" x14ac:dyDescent="0.25">
      <c r="H423">
        <v>1079</v>
      </c>
    </row>
    <row r="424" spans="1:30" x14ac:dyDescent="0.25">
      <c r="A424">
        <v>209</v>
      </c>
      <c r="B424">
        <v>3570</v>
      </c>
      <c r="C424" t="s">
        <v>1001</v>
      </c>
      <c r="D424" t="s">
        <v>72</v>
      </c>
      <c r="E424" t="s">
        <v>135</v>
      </c>
      <c r="F424" t="s">
        <v>1002</v>
      </c>
      <c r="G424" t="str">
        <f>"00363416"</f>
        <v>00363416</v>
      </c>
      <c r="H424" t="s">
        <v>239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68</v>
      </c>
      <c r="W424">
        <v>476</v>
      </c>
      <c r="X424">
        <v>0</v>
      </c>
      <c r="Z424">
        <v>0</v>
      </c>
      <c r="AA424">
        <v>0</v>
      </c>
      <c r="AB424">
        <v>16</v>
      </c>
      <c r="AC424">
        <v>272</v>
      </c>
      <c r="AD424" t="s">
        <v>1003</v>
      </c>
    </row>
    <row r="425" spans="1:30" x14ac:dyDescent="0.25">
      <c r="H425" t="s">
        <v>1004</v>
      </c>
    </row>
    <row r="426" spans="1:30" x14ac:dyDescent="0.25">
      <c r="A426">
        <v>210</v>
      </c>
      <c r="B426">
        <v>4274</v>
      </c>
      <c r="C426" t="s">
        <v>1005</v>
      </c>
      <c r="D426" t="s">
        <v>135</v>
      </c>
      <c r="E426" t="s">
        <v>49</v>
      </c>
      <c r="F426" t="s">
        <v>1006</v>
      </c>
      <c r="G426" t="str">
        <f>"201504001851"</f>
        <v>201504001851</v>
      </c>
      <c r="H426" t="s">
        <v>752</v>
      </c>
      <c r="I426">
        <v>0</v>
      </c>
      <c r="J426">
        <v>0</v>
      </c>
      <c r="K426">
        <v>0</v>
      </c>
      <c r="L426">
        <v>260</v>
      </c>
      <c r="M426">
        <v>0</v>
      </c>
      <c r="N426">
        <v>70</v>
      </c>
      <c r="O426">
        <v>0</v>
      </c>
      <c r="P426">
        <v>50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1007</v>
      </c>
    </row>
    <row r="427" spans="1:30" x14ac:dyDescent="0.25">
      <c r="H427" t="s">
        <v>1008</v>
      </c>
    </row>
    <row r="428" spans="1:30" x14ac:dyDescent="0.25">
      <c r="A428">
        <v>211</v>
      </c>
      <c r="B428">
        <v>2643</v>
      </c>
      <c r="C428" t="s">
        <v>1009</v>
      </c>
      <c r="D428" t="s">
        <v>294</v>
      </c>
      <c r="E428" t="s">
        <v>42</v>
      </c>
      <c r="F428" t="s">
        <v>1010</v>
      </c>
      <c r="G428" t="str">
        <f>"00025215"</f>
        <v>00025215</v>
      </c>
      <c r="H428" t="s">
        <v>1011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1012</v>
      </c>
    </row>
    <row r="429" spans="1:30" x14ac:dyDescent="0.25">
      <c r="H429" t="s">
        <v>1013</v>
      </c>
    </row>
    <row r="430" spans="1:30" x14ac:dyDescent="0.25">
      <c r="A430">
        <v>212</v>
      </c>
      <c r="B430">
        <v>4093</v>
      </c>
      <c r="C430" t="s">
        <v>1014</v>
      </c>
      <c r="D430" t="s">
        <v>496</v>
      </c>
      <c r="E430" t="s">
        <v>77</v>
      </c>
      <c r="F430" t="s">
        <v>1015</v>
      </c>
      <c r="G430" t="str">
        <f>"00017167"</f>
        <v>00017167</v>
      </c>
      <c r="H430" t="s">
        <v>1016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70</v>
      </c>
      <c r="O430">
        <v>0</v>
      </c>
      <c r="P430">
        <v>50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1017</v>
      </c>
    </row>
    <row r="431" spans="1:30" x14ac:dyDescent="0.25">
      <c r="H431" t="s">
        <v>1018</v>
      </c>
    </row>
    <row r="432" spans="1:30" x14ac:dyDescent="0.25">
      <c r="A432">
        <v>213</v>
      </c>
      <c r="B432">
        <v>1394</v>
      </c>
      <c r="C432" t="s">
        <v>1019</v>
      </c>
      <c r="D432" t="s">
        <v>1020</v>
      </c>
      <c r="E432" t="s">
        <v>59</v>
      </c>
      <c r="F432" t="s">
        <v>1021</v>
      </c>
      <c r="G432" t="str">
        <f>"201401002462"</f>
        <v>201401002462</v>
      </c>
      <c r="H432" t="s">
        <v>1022</v>
      </c>
      <c r="I432">
        <v>0</v>
      </c>
      <c r="J432">
        <v>0</v>
      </c>
      <c r="K432">
        <v>0</v>
      </c>
      <c r="L432">
        <v>260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1023</v>
      </c>
    </row>
    <row r="433" spans="1:30" x14ac:dyDescent="0.25">
      <c r="H433" t="s">
        <v>1024</v>
      </c>
    </row>
    <row r="434" spans="1:30" x14ac:dyDescent="0.25">
      <c r="A434">
        <v>214</v>
      </c>
      <c r="B434">
        <v>3938</v>
      </c>
      <c r="C434" t="s">
        <v>310</v>
      </c>
      <c r="D434" t="s">
        <v>164</v>
      </c>
      <c r="E434" t="s">
        <v>311</v>
      </c>
      <c r="F434" t="s">
        <v>312</v>
      </c>
      <c r="G434" t="str">
        <f>"00144836"</f>
        <v>00144836</v>
      </c>
      <c r="H434" t="s">
        <v>313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70</v>
      </c>
      <c r="O434">
        <v>30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1025</v>
      </c>
    </row>
    <row r="435" spans="1:30" x14ac:dyDescent="0.25">
      <c r="H435" t="s">
        <v>315</v>
      </c>
    </row>
    <row r="436" spans="1:30" x14ac:dyDescent="0.25">
      <c r="A436">
        <v>215</v>
      </c>
      <c r="B436">
        <v>4846</v>
      </c>
      <c r="C436" t="s">
        <v>1026</v>
      </c>
      <c r="D436" t="s">
        <v>142</v>
      </c>
      <c r="E436" t="s">
        <v>28</v>
      </c>
      <c r="F436" t="s">
        <v>1027</v>
      </c>
      <c r="G436" t="str">
        <f>"201504003734"</f>
        <v>201504003734</v>
      </c>
      <c r="H436" t="s">
        <v>980</v>
      </c>
      <c r="I436">
        <v>0</v>
      </c>
      <c r="J436">
        <v>0</v>
      </c>
      <c r="K436">
        <v>0</v>
      </c>
      <c r="L436">
        <v>260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1028</v>
      </c>
    </row>
    <row r="437" spans="1:30" x14ac:dyDescent="0.25">
      <c r="H437" t="s">
        <v>1029</v>
      </c>
    </row>
    <row r="438" spans="1:30" x14ac:dyDescent="0.25">
      <c r="A438">
        <v>216</v>
      </c>
      <c r="B438">
        <v>3941</v>
      </c>
      <c r="C438" t="s">
        <v>1030</v>
      </c>
      <c r="D438" t="s">
        <v>1031</v>
      </c>
      <c r="E438" t="s">
        <v>1032</v>
      </c>
      <c r="F438" t="s">
        <v>1033</v>
      </c>
      <c r="G438" t="str">
        <f>"00364091"</f>
        <v>00364091</v>
      </c>
      <c r="H438" t="s">
        <v>1034</v>
      </c>
      <c r="I438">
        <v>0</v>
      </c>
      <c r="J438">
        <v>0</v>
      </c>
      <c r="K438">
        <v>0</v>
      </c>
      <c r="L438">
        <v>200</v>
      </c>
      <c r="M438">
        <v>30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60</v>
      </c>
      <c r="W438">
        <v>420</v>
      </c>
      <c r="X438">
        <v>0</v>
      </c>
      <c r="Z438">
        <v>0</v>
      </c>
      <c r="AA438">
        <v>0</v>
      </c>
      <c r="AB438">
        <v>24</v>
      </c>
      <c r="AC438">
        <v>408</v>
      </c>
      <c r="AD438" t="s">
        <v>1035</v>
      </c>
    </row>
    <row r="439" spans="1:30" x14ac:dyDescent="0.25">
      <c r="H439" t="s">
        <v>1036</v>
      </c>
    </row>
    <row r="440" spans="1:30" x14ac:dyDescent="0.25">
      <c r="A440">
        <v>217</v>
      </c>
      <c r="B440">
        <v>1240</v>
      </c>
      <c r="C440" t="s">
        <v>519</v>
      </c>
      <c r="D440" t="s">
        <v>520</v>
      </c>
      <c r="E440" t="s">
        <v>521</v>
      </c>
      <c r="F440" t="s">
        <v>522</v>
      </c>
      <c r="G440" t="str">
        <f>"201511042954"</f>
        <v>201511042954</v>
      </c>
      <c r="H440" t="s">
        <v>138</v>
      </c>
      <c r="I440">
        <v>0</v>
      </c>
      <c r="J440">
        <v>0</v>
      </c>
      <c r="K440">
        <v>0</v>
      </c>
      <c r="L440">
        <v>200</v>
      </c>
      <c r="M440">
        <v>0</v>
      </c>
      <c r="N440">
        <v>70</v>
      </c>
      <c r="O440">
        <v>50</v>
      </c>
      <c r="P440">
        <v>0</v>
      </c>
      <c r="Q440">
        <v>0</v>
      </c>
      <c r="R440">
        <v>30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1037</v>
      </c>
    </row>
    <row r="441" spans="1:30" x14ac:dyDescent="0.25">
      <c r="H441" t="s">
        <v>524</v>
      </c>
    </row>
    <row r="442" spans="1:30" x14ac:dyDescent="0.25">
      <c r="A442">
        <v>218</v>
      </c>
      <c r="B442">
        <v>2343</v>
      </c>
      <c r="C442" t="s">
        <v>1038</v>
      </c>
      <c r="D442" t="s">
        <v>1039</v>
      </c>
      <c r="E442" t="s">
        <v>294</v>
      </c>
      <c r="F442" t="s">
        <v>1040</v>
      </c>
      <c r="G442" t="str">
        <f>"00363406"</f>
        <v>00363406</v>
      </c>
      <c r="H442" t="s">
        <v>110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70</v>
      </c>
      <c r="O442">
        <v>50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1041</v>
      </c>
    </row>
    <row r="443" spans="1:30" x14ac:dyDescent="0.25">
      <c r="H443" t="s">
        <v>1042</v>
      </c>
    </row>
    <row r="444" spans="1:30" x14ac:dyDescent="0.25">
      <c r="A444">
        <v>219</v>
      </c>
      <c r="B444">
        <v>89</v>
      </c>
      <c r="C444" t="s">
        <v>322</v>
      </c>
      <c r="D444" t="s">
        <v>142</v>
      </c>
      <c r="E444" t="s">
        <v>135</v>
      </c>
      <c r="F444" t="s">
        <v>323</v>
      </c>
      <c r="G444" t="str">
        <f>"201504000604"</f>
        <v>201504000604</v>
      </c>
      <c r="H444" t="s">
        <v>221</v>
      </c>
      <c r="I444">
        <v>0</v>
      </c>
      <c r="J444">
        <v>0</v>
      </c>
      <c r="K444">
        <v>0</v>
      </c>
      <c r="L444">
        <v>260</v>
      </c>
      <c r="M444">
        <v>0</v>
      </c>
      <c r="N444">
        <v>30</v>
      </c>
      <c r="O444">
        <v>0</v>
      </c>
      <c r="P444">
        <v>0</v>
      </c>
      <c r="Q444">
        <v>50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1043</v>
      </c>
    </row>
    <row r="445" spans="1:30" x14ac:dyDescent="0.25">
      <c r="H445" t="s">
        <v>325</v>
      </c>
    </row>
    <row r="446" spans="1:30" x14ac:dyDescent="0.25">
      <c r="A446">
        <v>220</v>
      </c>
      <c r="B446">
        <v>1811</v>
      </c>
      <c r="C446" t="s">
        <v>1044</v>
      </c>
      <c r="D446" t="s">
        <v>48</v>
      </c>
      <c r="E446" t="s">
        <v>59</v>
      </c>
      <c r="F446" t="s">
        <v>1045</v>
      </c>
      <c r="G446" t="str">
        <f>"201402001607"</f>
        <v>201402001607</v>
      </c>
      <c r="H446" t="s">
        <v>882</v>
      </c>
      <c r="I446">
        <v>0</v>
      </c>
      <c r="J446">
        <v>0</v>
      </c>
      <c r="K446">
        <v>0</v>
      </c>
      <c r="L446">
        <v>200</v>
      </c>
      <c r="M446">
        <v>0</v>
      </c>
      <c r="N446">
        <v>70</v>
      </c>
      <c r="O446">
        <v>30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6</v>
      </c>
      <c r="Y446">
        <v>1084</v>
      </c>
      <c r="Z446">
        <v>0</v>
      </c>
      <c r="AA446">
        <v>0</v>
      </c>
      <c r="AB446">
        <v>0</v>
      </c>
      <c r="AC446">
        <v>0</v>
      </c>
      <c r="AD446" t="s">
        <v>1046</v>
      </c>
    </row>
    <row r="447" spans="1:30" x14ac:dyDescent="0.25">
      <c r="H447" t="s">
        <v>1047</v>
      </c>
    </row>
    <row r="448" spans="1:30" x14ac:dyDescent="0.25">
      <c r="A448">
        <v>221</v>
      </c>
      <c r="B448">
        <v>1811</v>
      </c>
      <c r="C448" t="s">
        <v>1044</v>
      </c>
      <c r="D448" t="s">
        <v>48</v>
      </c>
      <c r="E448" t="s">
        <v>59</v>
      </c>
      <c r="F448" t="s">
        <v>1045</v>
      </c>
      <c r="G448" t="str">
        <f>"201402001607"</f>
        <v>201402001607</v>
      </c>
      <c r="H448" t="s">
        <v>882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70</v>
      </c>
      <c r="O448">
        <v>30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1046</v>
      </c>
    </row>
    <row r="449" spans="1:30" x14ac:dyDescent="0.25">
      <c r="H449" t="s">
        <v>1047</v>
      </c>
    </row>
    <row r="450" spans="1:30" x14ac:dyDescent="0.25">
      <c r="A450">
        <v>222</v>
      </c>
      <c r="B450">
        <v>2064</v>
      </c>
      <c r="C450" t="s">
        <v>1048</v>
      </c>
      <c r="D450" t="s">
        <v>83</v>
      </c>
      <c r="E450" t="s">
        <v>59</v>
      </c>
      <c r="F450" t="s">
        <v>1049</v>
      </c>
      <c r="G450" t="str">
        <f>"00020337"</f>
        <v>00020337</v>
      </c>
      <c r="H450" t="s">
        <v>1050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70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72</v>
      </c>
      <c r="W450">
        <v>504</v>
      </c>
      <c r="X450">
        <v>0</v>
      </c>
      <c r="Z450">
        <v>1</v>
      </c>
      <c r="AA450">
        <v>0</v>
      </c>
      <c r="AB450">
        <v>12</v>
      </c>
      <c r="AC450">
        <v>204</v>
      </c>
      <c r="AD450" t="s">
        <v>1051</v>
      </c>
    </row>
    <row r="451" spans="1:30" x14ac:dyDescent="0.25">
      <c r="H451" t="s">
        <v>250</v>
      </c>
    </row>
    <row r="452" spans="1:30" x14ac:dyDescent="0.25">
      <c r="A452">
        <v>223</v>
      </c>
      <c r="B452">
        <v>4088</v>
      </c>
      <c r="C452" t="s">
        <v>1052</v>
      </c>
      <c r="D452" t="s">
        <v>264</v>
      </c>
      <c r="E452" t="s">
        <v>294</v>
      </c>
      <c r="F452" t="s">
        <v>1053</v>
      </c>
      <c r="G452" t="str">
        <f>"00202147"</f>
        <v>00202147</v>
      </c>
      <c r="H452" t="s">
        <v>757</v>
      </c>
      <c r="I452">
        <v>0</v>
      </c>
      <c r="J452">
        <v>0</v>
      </c>
      <c r="K452">
        <v>0</v>
      </c>
      <c r="L452">
        <v>200</v>
      </c>
      <c r="M452">
        <v>0</v>
      </c>
      <c r="N452">
        <v>70</v>
      </c>
      <c r="O452">
        <v>0</v>
      </c>
      <c r="P452">
        <v>50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1054</v>
      </c>
    </row>
    <row r="453" spans="1:30" x14ac:dyDescent="0.25">
      <c r="H453" t="s">
        <v>1055</v>
      </c>
    </row>
    <row r="454" spans="1:30" x14ac:dyDescent="0.25">
      <c r="A454">
        <v>224</v>
      </c>
      <c r="B454">
        <v>2738</v>
      </c>
      <c r="C454" t="s">
        <v>1056</v>
      </c>
      <c r="D454" t="s">
        <v>1057</v>
      </c>
      <c r="E454" t="s">
        <v>203</v>
      </c>
      <c r="F454" t="s">
        <v>1058</v>
      </c>
      <c r="G454" t="str">
        <f>"00115995"</f>
        <v>00115995</v>
      </c>
      <c r="H454" t="s">
        <v>1059</v>
      </c>
      <c r="I454">
        <v>0</v>
      </c>
      <c r="J454">
        <v>0</v>
      </c>
      <c r="K454">
        <v>0</v>
      </c>
      <c r="L454">
        <v>0</v>
      </c>
      <c r="M454">
        <v>100</v>
      </c>
      <c r="N454">
        <v>70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60</v>
      </c>
      <c r="W454">
        <v>420</v>
      </c>
      <c r="X454">
        <v>0</v>
      </c>
      <c r="Z454">
        <v>0</v>
      </c>
      <c r="AA454">
        <v>0</v>
      </c>
      <c r="AB454">
        <v>24</v>
      </c>
      <c r="AC454">
        <v>408</v>
      </c>
      <c r="AD454" t="s">
        <v>1060</v>
      </c>
    </row>
    <row r="455" spans="1:30" x14ac:dyDescent="0.25">
      <c r="H455" t="s">
        <v>1061</v>
      </c>
    </row>
    <row r="456" spans="1:30" x14ac:dyDescent="0.25">
      <c r="A456">
        <v>225</v>
      </c>
      <c r="B456">
        <v>3339</v>
      </c>
      <c r="C456" t="s">
        <v>1062</v>
      </c>
      <c r="D456" t="s">
        <v>1063</v>
      </c>
      <c r="E456" t="s">
        <v>352</v>
      </c>
      <c r="F456" t="s">
        <v>1064</v>
      </c>
      <c r="G456" t="str">
        <f>"201105000099"</f>
        <v>201105000099</v>
      </c>
      <c r="H456" t="s">
        <v>419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1065</v>
      </c>
    </row>
    <row r="457" spans="1:30" x14ac:dyDescent="0.25">
      <c r="H457" t="s">
        <v>1066</v>
      </c>
    </row>
    <row r="458" spans="1:30" x14ac:dyDescent="0.25">
      <c r="A458">
        <v>226</v>
      </c>
      <c r="B458">
        <v>457</v>
      </c>
      <c r="C458" t="s">
        <v>1067</v>
      </c>
      <c r="D458" t="s">
        <v>28</v>
      </c>
      <c r="E458" t="s">
        <v>1068</v>
      </c>
      <c r="F458" t="s">
        <v>1069</v>
      </c>
      <c r="G458" t="str">
        <f>"201402009401"</f>
        <v>201402009401</v>
      </c>
      <c r="H458" t="s">
        <v>1070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60</v>
      </c>
      <c r="W458">
        <v>420</v>
      </c>
      <c r="X458">
        <v>0</v>
      </c>
      <c r="Z458">
        <v>0</v>
      </c>
      <c r="AA458">
        <v>0</v>
      </c>
      <c r="AB458">
        <v>24</v>
      </c>
      <c r="AC458">
        <v>408</v>
      </c>
      <c r="AD458" t="s">
        <v>1071</v>
      </c>
    </row>
    <row r="459" spans="1:30" x14ac:dyDescent="0.25">
      <c r="H459">
        <v>1089</v>
      </c>
    </row>
    <row r="460" spans="1:30" x14ac:dyDescent="0.25">
      <c r="A460">
        <v>227</v>
      </c>
      <c r="B460">
        <v>1761</v>
      </c>
      <c r="C460" t="s">
        <v>1072</v>
      </c>
      <c r="D460" t="s">
        <v>664</v>
      </c>
      <c r="E460" t="s">
        <v>363</v>
      </c>
      <c r="F460" t="s">
        <v>1073</v>
      </c>
      <c r="G460" t="str">
        <f>"00258957"</f>
        <v>00258957</v>
      </c>
      <c r="H460">
        <v>803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70</v>
      </c>
      <c r="O460">
        <v>0</v>
      </c>
      <c r="P460">
        <v>50</v>
      </c>
      <c r="Q460">
        <v>0</v>
      </c>
      <c r="R460">
        <v>30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>
        <v>1741</v>
      </c>
    </row>
    <row r="461" spans="1:30" x14ac:dyDescent="0.25">
      <c r="H461" t="s">
        <v>1074</v>
      </c>
    </row>
    <row r="462" spans="1:30" x14ac:dyDescent="0.25">
      <c r="A462">
        <v>228</v>
      </c>
      <c r="B462">
        <v>4750</v>
      </c>
      <c r="C462" t="s">
        <v>326</v>
      </c>
      <c r="D462" t="s">
        <v>327</v>
      </c>
      <c r="E462" t="s">
        <v>35</v>
      </c>
      <c r="F462" t="s">
        <v>328</v>
      </c>
      <c r="G462" t="str">
        <f>"200912000245"</f>
        <v>200912000245</v>
      </c>
      <c r="H462" t="s">
        <v>329</v>
      </c>
      <c r="I462">
        <v>0</v>
      </c>
      <c r="J462">
        <v>0</v>
      </c>
      <c r="K462">
        <v>0</v>
      </c>
      <c r="L462">
        <v>200</v>
      </c>
      <c r="M462">
        <v>30</v>
      </c>
      <c r="N462">
        <v>70</v>
      </c>
      <c r="O462">
        <v>30</v>
      </c>
      <c r="P462">
        <v>0</v>
      </c>
      <c r="Q462">
        <v>50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1075</v>
      </c>
    </row>
    <row r="463" spans="1:30" x14ac:dyDescent="0.25">
      <c r="H463" t="s">
        <v>331</v>
      </c>
    </row>
    <row r="464" spans="1:30" x14ac:dyDescent="0.25">
      <c r="A464">
        <v>229</v>
      </c>
      <c r="B464">
        <v>548</v>
      </c>
      <c r="C464" t="s">
        <v>1076</v>
      </c>
      <c r="D464" t="s">
        <v>42</v>
      </c>
      <c r="E464" t="s">
        <v>158</v>
      </c>
      <c r="F464" t="s">
        <v>1077</v>
      </c>
      <c r="G464" t="str">
        <f>"00251570"</f>
        <v>00251570</v>
      </c>
      <c r="H464" t="s">
        <v>1078</v>
      </c>
      <c r="I464">
        <v>0</v>
      </c>
      <c r="J464">
        <v>0</v>
      </c>
      <c r="K464">
        <v>0</v>
      </c>
      <c r="L464">
        <v>0</v>
      </c>
      <c r="M464">
        <v>100</v>
      </c>
      <c r="N464">
        <v>30</v>
      </c>
      <c r="O464">
        <v>0</v>
      </c>
      <c r="P464">
        <v>0</v>
      </c>
      <c r="Q464">
        <v>50</v>
      </c>
      <c r="R464">
        <v>0</v>
      </c>
      <c r="S464">
        <v>0</v>
      </c>
      <c r="T464">
        <v>70</v>
      </c>
      <c r="U464">
        <v>0</v>
      </c>
      <c r="V464">
        <v>60</v>
      </c>
      <c r="W464">
        <v>420</v>
      </c>
      <c r="X464">
        <v>0</v>
      </c>
      <c r="Z464">
        <v>0</v>
      </c>
      <c r="AA464">
        <v>0</v>
      </c>
      <c r="AB464">
        <v>24</v>
      </c>
      <c r="AC464">
        <v>408</v>
      </c>
      <c r="AD464" t="s">
        <v>1079</v>
      </c>
    </row>
    <row r="465" spans="1:30" x14ac:dyDescent="0.25">
      <c r="H465" t="s">
        <v>1080</v>
      </c>
    </row>
    <row r="466" spans="1:30" x14ac:dyDescent="0.25">
      <c r="A466">
        <v>230</v>
      </c>
      <c r="B466">
        <v>1287</v>
      </c>
      <c r="C466" t="s">
        <v>1081</v>
      </c>
      <c r="D466" t="s">
        <v>135</v>
      </c>
      <c r="E466" t="s">
        <v>59</v>
      </c>
      <c r="F466" t="s">
        <v>1082</v>
      </c>
      <c r="G466" t="str">
        <f>"00077280"</f>
        <v>00077280</v>
      </c>
      <c r="H466" t="s">
        <v>1083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60</v>
      </c>
      <c r="W466">
        <v>420</v>
      </c>
      <c r="X466">
        <v>6</v>
      </c>
      <c r="Y466" t="s">
        <v>1084</v>
      </c>
      <c r="Z466">
        <v>1</v>
      </c>
      <c r="AA466">
        <v>0</v>
      </c>
      <c r="AB466">
        <v>24</v>
      </c>
      <c r="AC466">
        <v>408</v>
      </c>
      <c r="AD466" t="s">
        <v>1085</v>
      </c>
    </row>
    <row r="467" spans="1:30" x14ac:dyDescent="0.25">
      <c r="H467" t="s">
        <v>1086</v>
      </c>
    </row>
    <row r="468" spans="1:30" x14ac:dyDescent="0.25">
      <c r="A468">
        <v>231</v>
      </c>
      <c r="B468">
        <v>1287</v>
      </c>
      <c r="C468" t="s">
        <v>1081</v>
      </c>
      <c r="D468" t="s">
        <v>135</v>
      </c>
      <c r="E468" t="s">
        <v>59</v>
      </c>
      <c r="F468" t="s">
        <v>1082</v>
      </c>
      <c r="G468" t="str">
        <f>"00077280"</f>
        <v>00077280</v>
      </c>
      <c r="H468" t="s">
        <v>1083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70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60</v>
      </c>
      <c r="W468">
        <v>420</v>
      </c>
      <c r="X468">
        <v>0</v>
      </c>
      <c r="Z468">
        <v>1</v>
      </c>
      <c r="AA468">
        <v>0</v>
      </c>
      <c r="AB468">
        <v>24</v>
      </c>
      <c r="AC468">
        <v>408</v>
      </c>
      <c r="AD468" t="s">
        <v>1085</v>
      </c>
    </row>
    <row r="469" spans="1:30" x14ac:dyDescent="0.25">
      <c r="H469" t="s">
        <v>1086</v>
      </c>
    </row>
    <row r="470" spans="1:30" x14ac:dyDescent="0.25">
      <c r="A470">
        <v>232</v>
      </c>
      <c r="B470">
        <v>1643</v>
      </c>
      <c r="C470" t="s">
        <v>332</v>
      </c>
      <c r="D470" t="s">
        <v>333</v>
      </c>
      <c r="E470" t="s">
        <v>272</v>
      </c>
      <c r="F470" t="s">
        <v>334</v>
      </c>
      <c r="G470" t="str">
        <f>"00315109"</f>
        <v>00315109</v>
      </c>
      <c r="H470" t="s">
        <v>335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0</v>
      </c>
      <c r="P470">
        <v>30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1087</v>
      </c>
    </row>
    <row r="471" spans="1:30" x14ac:dyDescent="0.25">
      <c r="H471" t="s">
        <v>337</v>
      </c>
    </row>
    <row r="472" spans="1:30" x14ac:dyDescent="0.25">
      <c r="A472">
        <v>233</v>
      </c>
      <c r="B472">
        <v>3597</v>
      </c>
      <c r="C472" t="s">
        <v>1088</v>
      </c>
      <c r="D472" t="s">
        <v>1089</v>
      </c>
      <c r="E472" t="s">
        <v>28</v>
      </c>
      <c r="F472" t="s">
        <v>1090</v>
      </c>
      <c r="G472" t="str">
        <f>"201504004888"</f>
        <v>201504004888</v>
      </c>
      <c r="H472">
        <v>858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82</v>
      </c>
      <c r="W472">
        <v>574</v>
      </c>
      <c r="X472">
        <v>0</v>
      </c>
      <c r="Z472">
        <v>0</v>
      </c>
      <c r="AA472">
        <v>0</v>
      </c>
      <c r="AB472">
        <v>2</v>
      </c>
      <c r="AC472">
        <v>34</v>
      </c>
      <c r="AD472">
        <v>1736</v>
      </c>
    </row>
    <row r="473" spans="1:30" x14ac:dyDescent="0.25">
      <c r="H473" t="s">
        <v>1091</v>
      </c>
    </row>
    <row r="474" spans="1:30" x14ac:dyDescent="0.25">
      <c r="A474">
        <v>234</v>
      </c>
      <c r="B474">
        <v>1659</v>
      </c>
      <c r="C474" t="s">
        <v>1092</v>
      </c>
      <c r="D474" t="s">
        <v>42</v>
      </c>
      <c r="E474" t="s">
        <v>135</v>
      </c>
      <c r="F474" t="s">
        <v>1093</v>
      </c>
      <c r="G474" t="str">
        <f>"201504001123"</f>
        <v>201504001123</v>
      </c>
      <c r="H474" t="s">
        <v>1094</v>
      </c>
      <c r="I474">
        <v>150</v>
      </c>
      <c r="J474">
        <v>0</v>
      </c>
      <c r="K474">
        <v>0</v>
      </c>
      <c r="L474">
        <v>200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72</v>
      </c>
      <c r="W474">
        <v>504</v>
      </c>
      <c r="X474">
        <v>0</v>
      </c>
      <c r="Z474">
        <v>1</v>
      </c>
      <c r="AA474">
        <v>0</v>
      </c>
      <c r="AB474">
        <v>12</v>
      </c>
      <c r="AC474">
        <v>204</v>
      </c>
      <c r="AD474" t="s">
        <v>1095</v>
      </c>
    </row>
    <row r="475" spans="1:30" x14ac:dyDescent="0.25">
      <c r="H475" t="s">
        <v>933</v>
      </c>
    </row>
    <row r="476" spans="1:30" x14ac:dyDescent="0.25">
      <c r="A476">
        <v>235</v>
      </c>
      <c r="B476">
        <v>2985</v>
      </c>
      <c r="C476" t="s">
        <v>1096</v>
      </c>
      <c r="D476" t="s">
        <v>253</v>
      </c>
      <c r="E476" t="s">
        <v>148</v>
      </c>
      <c r="F476" t="s">
        <v>1097</v>
      </c>
      <c r="G476" t="str">
        <f>"00139353"</f>
        <v>00139353</v>
      </c>
      <c r="H476" t="s">
        <v>354</v>
      </c>
      <c r="I476">
        <v>150</v>
      </c>
      <c r="J476">
        <v>0</v>
      </c>
      <c r="K476">
        <v>0</v>
      </c>
      <c r="L476">
        <v>200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70</v>
      </c>
      <c r="W476">
        <v>490</v>
      </c>
      <c r="X476">
        <v>0</v>
      </c>
      <c r="Z476">
        <v>1</v>
      </c>
      <c r="AA476">
        <v>0</v>
      </c>
      <c r="AB476">
        <v>2</v>
      </c>
      <c r="AC476">
        <v>34</v>
      </c>
      <c r="AD476" t="s">
        <v>1098</v>
      </c>
    </row>
    <row r="477" spans="1:30" x14ac:dyDescent="0.25">
      <c r="H477" t="s">
        <v>1099</v>
      </c>
    </row>
    <row r="478" spans="1:30" x14ac:dyDescent="0.25">
      <c r="A478">
        <v>236</v>
      </c>
      <c r="B478">
        <v>154</v>
      </c>
      <c r="C478" t="s">
        <v>1100</v>
      </c>
      <c r="D478" t="s">
        <v>1101</v>
      </c>
      <c r="E478" t="s">
        <v>135</v>
      </c>
      <c r="F478" t="s">
        <v>1102</v>
      </c>
      <c r="G478" t="str">
        <f>"200801008721"</f>
        <v>200801008721</v>
      </c>
      <c r="H478" t="s">
        <v>302</v>
      </c>
      <c r="I478">
        <v>0</v>
      </c>
      <c r="J478">
        <v>0</v>
      </c>
      <c r="K478">
        <v>0</v>
      </c>
      <c r="L478">
        <v>260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1103</v>
      </c>
    </row>
    <row r="479" spans="1:30" x14ac:dyDescent="0.25">
      <c r="H479" t="s">
        <v>1104</v>
      </c>
    </row>
    <row r="480" spans="1:30" x14ac:dyDescent="0.25">
      <c r="A480">
        <v>237</v>
      </c>
      <c r="B480">
        <v>4484</v>
      </c>
      <c r="C480" t="s">
        <v>1105</v>
      </c>
      <c r="D480" t="s">
        <v>35</v>
      </c>
      <c r="E480" t="s">
        <v>119</v>
      </c>
      <c r="F480" t="s">
        <v>1106</v>
      </c>
      <c r="G480" t="str">
        <f>"201504003534"</f>
        <v>201504003534</v>
      </c>
      <c r="H480" t="s">
        <v>1107</v>
      </c>
      <c r="I480">
        <v>0</v>
      </c>
      <c r="J480">
        <v>0</v>
      </c>
      <c r="K480">
        <v>0</v>
      </c>
      <c r="L480">
        <v>200</v>
      </c>
      <c r="M480">
        <v>0</v>
      </c>
      <c r="N480">
        <v>70</v>
      </c>
      <c r="O480">
        <v>0</v>
      </c>
      <c r="P480">
        <v>70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1108</v>
      </c>
    </row>
    <row r="481" spans="1:30" x14ac:dyDescent="0.25">
      <c r="H481" t="s">
        <v>1109</v>
      </c>
    </row>
    <row r="482" spans="1:30" x14ac:dyDescent="0.25">
      <c r="A482">
        <v>238</v>
      </c>
      <c r="B482">
        <v>4185</v>
      </c>
      <c r="C482" t="s">
        <v>1110</v>
      </c>
      <c r="D482" t="s">
        <v>203</v>
      </c>
      <c r="E482" t="s">
        <v>158</v>
      </c>
      <c r="F482" t="s">
        <v>1111</v>
      </c>
      <c r="G482" t="str">
        <f>"00364340"</f>
        <v>00364340</v>
      </c>
      <c r="H482" t="s">
        <v>463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70</v>
      </c>
      <c r="O482">
        <v>0</v>
      </c>
      <c r="P482">
        <v>30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6</v>
      </c>
      <c r="Y482">
        <v>1080</v>
      </c>
      <c r="Z482">
        <v>0</v>
      </c>
      <c r="AA482">
        <v>0</v>
      </c>
      <c r="AB482">
        <v>0</v>
      </c>
      <c r="AC482">
        <v>0</v>
      </c>
      <c r="AD482" t="s">
        <v>1112</v>
      </c>
    </row>
    <row r="483" spans="1:30" x14ac:dyDescent="0.25">
      <c r="H483">
        <v>1080</v>
      </c>
    </row>
    <row r="484" spans="1:30" x14ac:dyDescent="0.25">
      <c r="A484">
        <v>239</v>
      </c>
      <c r="B484">
        <v>1792</v>
      </c>
      <c r="C484" t="s">
        <v>1113</v>
      </c>
      <c r="D484" t="s">
        <v>1114</v>
      </c>
      <c r="E484" t="s">
        <v>28</v>
      </c>
      <c r="F484" t="s">
        <v>1115</v>
      </c>
      <c r="G484" t="str">
        <f>"201406014147"</f>
        <v>201406014147</v>
      </c>
      <c r="H484" t="s">
        <v>1116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1117</v>
      </c>
    </row>
    <row r="485" spans="1:30" x14ac:dyDescent="0.25">
      <c r="H485" t="s">
        <v>1118</v>
      </c>
    </row>
    <row r="486" spans="1:30" x14ac:dyDescent="0.25">
      <c r="A486">
        <v>240</v>
      </c>
      <c r="B486">
        <v>2957</v>
      </c>
      <c r="C486" t="s">
        <v>1119</v>
      </c>
      <c r="D486" t="s">
        <v>148</v>
      </c>
      <c r="E486" t="s">
        <v>1120</v>
      </c>
      <c r="F486" t="s">
        <v>1121</v>
      </c>
      <c r="G486" t="str">
        <f>"00368640"</f>
        <v>00368640</v>
      </c>
      <c r="H486">
        <v>770</v>
      </c>
      <c r="I486">
        <v>0</v>
      </c>
      <c r="J486">
        <v>0</v>
      </c>
      <c r="K486">
        <v>0</v>
      </c>
      <c r="L486">
        <v>0</v>
      </c>
      <c r="M486">
        <v>100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60</v>
      </c>
      <c r="W486">
        <v>420</v>
      </c>
      <c r="X486">
        <v>0</v>
      </c>
      <c r="Z486">
        <v>0</v>
      </c>
      <c r="AA486">
        <v>0</v>
      </c>
      <c r="AB486">
        <v>24</v>
      </c>
      <c r="AC486">
        <v>408</v>
      </c>
      <c r="AD486">
        <v>1728</v>
      </c>
    </row>
    <row r="487" spans="1:30" x14ac:dyDescent="0.25">
      <c r="H487">
        <v>1078</v>
      </c>
    </row>
    <row r="488" spans="1:30" x14ac:dyDescent="0.25">
      <c r="A488">
        <v>241</v>
      </c>
      <c r="B488">
        <v>2765</v>
      </c>
      <c r="C488" t="s">
        <v>805</v>
      </c>
      <c r="D488" t="s">
        <v>66</v>
      </c>
      <c r="E488" t="s">
        <v>135</v>
      </c>
      <c r="F488" t="s">
        <v>1122</v>
      </c>
      <c r="G488" t="str">
        <f>"00360446"</f>
        <v>00360446</v>
      </c>
      <c r="H488" t="s">
        <v>354</v>
      </c>
      <c r="I488">
        <v>0</v>
      </c>
      <c r="J488">
        <v>0</v>
      </c>
      <c r="K488">
        <v>0</v>
      </c>
      <c r="L488">
        <v>200</v>
      </c>
      <c r="M488">
        <v>30</v>
      </c>
      <c r="N488">
        <v>70</v>
      </c>
      <c r="O488">
        <v>0</v>
      </c>
      <c r="P488">
        <v>50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1123</v>
      </c>
    </row>
    <row r="489" spans="1:30" x14ac:dyDescent="0.25">
      <c r="H489" t="s">
        <v>1124</v>
      </c>
    </row>
    <row r="490" spans="1:30" x14ac:dyDescent="0.25">
      <c r="A490">
        <v>242</v>
      </c>
      <c r="B490">
        <v>1660</v>
      </c>
      <c r="C490" t="s">
        <v>944</v>
      </c>
      <c r="D490" t="s">
        <v>148</v>
      </c>
      <c r="E490" t="s">
        <v>77</v>
      </c>
      <c r="F490" t="s">
        <v>1125</v>
      </c>
      <c r="G490" t="str">
        <f>"00251619"</f>
        <v>00251619</v>
      </c>
      <c r="H490" t="s">
        <v>381</v>
      </c>
      <c r="I490">
        <v>0</v>
      </c>
      <c r="J490">
        <v>0</v>
      </c>
      <c r="K490">
        <v>0</v>
      </c>
      <c r="L490">
        <v>260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72</v>
      </c>
      <c r="W490">
        <v>504</v>
      </c>
      <c r="X490">
        <v>0</v>
      </c>
      <c r="Z490">
        <v>0</v>
      </c>
      <c r="AA490">
        <v>0</v>
      </c>
      <c r="AB490">
        <v>12</v>
      </c>
      <c r="AC490">
        <v>204</v>
      </c>
      <c r="AD490" t="s">
        <v>1126</v>
      </c>
    </row>
    <row r="491" spans="1:30" x14ac:dyDescent="0.25">
      <c r="H491" t="s">
        <v>1127</v>
      </c>
    </row>
    <row r="492" spans="1:30" x14ac:dyDescent="0.25">
      <c r="A492">
        <v>243</v>
      </c>
      <c r="B492">
        <v>4762</v>
      </c>
      <c r="C492" t="s">
        <v>1128</v>
      </c>
      <c r="D492" t="s">
        <v>1129</v>
      </c>
      <c r="E492" t="s">
        <v>1130</v>
      </c>
      <c r="F492" t="s">
        <v>1131</v>
      </c>
      <c r="G492" t="str">
        <f>"00348918"</f>
        <v>00348918</v>
      </c>
      <c r="H492" t="s">
        <v>1132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60</v>
      </c>
      <c r="W492">
        <v>420</v>
      </c>
      <c r="X492">
        <v>6</v>
      </c>
      <c r="Y492">
        <v>1084</v>
      </c>
      <c r="Z492">
        <v>0</v>
      </c>
      <c r="AA492">
        <v>0</v>
      </c>
      <c r="AB492">
        <v>24</v>
      </c>
      <c r="AC492">
        <v>408</v>
      </c>
      <c r="AD492" t="s">
        <v>1133</v>
      </c>
    </row>
    <row r="493" spans="1:30" x14ac:dyDescent="0.25">
      <c r="H493">
        <v>1084</v>
      </c>
    </row>
    <row r="494" spans="1:30" x14ac:dyDescent="0.25">
      <c r="A494">
        <v>244</v>
      </c>
      <c r="B494">
        <v>2058</v>
      </c>
      <c r="C494" t="s">
        <v>1134</v>
      </c>
      <c r="D494" t="s">
        <v>293</v>
      </c>
      <c r="E494" t="s">
        <v>148</v>
      </c>
      <c r="F494" t="s">
        <v>1135</v>
      </c>
      <c r="G494" t="str">
        <f>"00017695"</f>
        <v>00017695</v>
      </c>
      <c r="H494" t="s">
        <v>1136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50</v>
      </c>
      <c r="O494">
        <v>30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76</v>
      </c>
      <c r="W494">
        <v>532</v>
      </c>
      <c r="X494">
        <v>0</v>
      </c>
      <c r="Z494">
        <v>0</v>
      </c>
      <c r="AA494">
        <v>0</v>
      </c>
      <c r="AB494">
        <v>8</v>
      </c>
      <c r="AC494">
        <v>136</v>
      </c>
      <c r="AD494" t="s">
        <v>1137</v>
      </c>
    </row>
    <row r="495" spans="1:30" x14ac:dyDescent="0.25">
      <c r="H495" t="s">
        <v>1138</v>
      </c>
    </row>
    <row r="496" spans="1:30" x14ac:dyDescent="0.25">
      <c r="A496">
        <v>245</v>
      </c>
      <c r="B496">
        <v>431</v>
      </c>
      <c r="C496" t="s">
        <v>368</v>
      </c>
      <c r="D496" t="s">
        <v>135</v>
      </c>
      <c r="E496" t="s">
        <v>59</v>
      </c>
      <c r="F496" t="s">
        <v>369</v>
      </c>
      <c r="G496" t="str">
        <f>"201504004108"</f>
        <v>201504004108</v>
      </c>
      <c r="H496" t="s">
        <v>215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70</v>
      </c>
      <c r="O496">
        <v>0</v>
      </c>
      <c r="P496">
        <v>50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1139</v>
      </c>
    </row>
    <row r="497" spans="1:30" x14ac:dyDescent="0.25">
      <c r="H497" t="s">
        <v>371</v>
      </c>
    </row>
    <row r="498" spans="1:30" x14ac:dyDescent="0.25">
      <c r="A498">
        <v>246</v>
      </c>
      <c r="B498">
        <v>2390</v>
      </c>
      <c r="C498" t="s">
        <v>1140</v>
      </c>
      <c r="D498" t="s">
        <v>77</v>
      </c>
      <c r="E498" t="s">
        <v>59</v>
      </c>
      <c r="F498" t="s">
        <v>1141</v>
      </c>
      <c r="G498" t="str">
        <f>"201504005008"</f>
        <v>201504005008</v>
      </c>
      <c r="H498" t="s">
        <v>205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60</v>
      </c>
      <c r="W498">
        <v>420</v>
      </c>
      <c r="X498">
        <v>6</v>
      </c>
      <c r="Y498">
        <v>1080</v>
      </c>
      <c r="Z498">
        <v>0</v>
      </c>
      <c r="AA498">
        <v>0</v>
      </c>
      <c r="AB498">
        <v>24</v>
      </c>
      <c r="AC498">
        <v>408</v>
      </c>
      <c r="AD498" t="s">
        <v>1142</v>
      </c>
    </row>
    <row r="499" spans="1:30" x14ac:dyDescent="0.25">
      <c r="H499" t="s">
        <v>1143</v>
      </c>
    </row>
    <row r="500" spans="1:30" x14ac:dyDescent="0.25">
      <c r="A500">
        <v>247</v>
      </c>
      <c r="B500">
        <v>2390</v>
      </c>
      <c r="C500" t="s">
        <v>1140</v>
      </c>
      <c r="D500" t="s">
        <v>77</v>
      </c>
      <c r="E500" t="s">
        <v>59</v>
      </c>
      <c r="F500" t="s">
        <v>1141</v>
      </c>
      <c r="G500" t="str">
        <f>"201504005008"</f>
        <v>201504005008</v>
      </c>
      <c r="H500" t="s">
        <v>205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60</v>
      </c>
      <c r="W500">
        <v>420</v>
      </c>
      <c r="X500">
        <v>0</v>
      </c>
      <c r="Z500">
        <v>0</v>
      </c>
      <c r="AA500">
        <v>0</v>
      </c>
      <c r="AB500">
        <v>24</v>
      </c>
      <c r="AC500">
        <v>408</v>
      </c>
      <c r="AD500" t="s">
        <v>1142</v>
      </c>
    </row>
    <row r="501" spans="1:30" x14ac:dyDescent="0.25">
      <c r="H501" t="s">
        <v>1143</v>
      </c>
    </row>
    <row r="502" spans="1:30" x14ac:dyDescent="0.25">
      <c r="A502">
        <v>248</v>
      </c>
      <c r="B502">
        <v>1035</v>
      </c>
      <c r="C502" t="s">
        <v>1144</v>
      </c>
      <c r="D502" t="s">
        <v>448</v>
      </c>
      <c r="E502" t="s">
        <v>158</v>
      </c>
      <c r="F502" t="s">
        <v>1145</v>
      </c>
      <c r="G502" t="str">
        <f>"201412003715"</f>
        <v>201412003715</v>
      </c>
      <c r="H502" t="s">
        <v>1146</v>
      </c>
      <c r="I502">
        <v>0</v>
      </c>
      <c r="J502">
        <v>0</v>
      </c>
      <c r="K502">
        <v>0</v>
      </c>
      <c r="L502">
        <v>0</v>
      </c>
      <c r="M502">
        <v>100</v>
      </c>
      <c r="N502">
        <v>70</v>
      </c>
      <c r="O502">
        <v>30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60</v>
      </c>
      <c r="W502">
        <v>420</v>
      </c>
      <c r="X502">
        <v>0</v>
      </c>
      <c r="Z502">
        <v>0</v>
      </c>
      <c r="AA502">
        <v>0</v>
      </c>
      <c r="AB502">
        <v>24</v>
      </c>
      <c r="AC502">
        <v>408</v>
      </c>
      <c r="AD502" t="s">
        <v>1147</v>
      </c>
    </row>
    <row r="503" spans="1:30" x14ac:dyDescent="0.25">
      <c r="H503" t="s">
        <v>1148</v>
      </c>
    </row>
    <row r="504" spans="1:30" x14ac:dyDescent="0.25">
      <c r="A504">
        <v>249</v>
      </c>
      <c r="B504">
        <v>3921</v>
      </c>
      <c r="C504" t="s">
        <v>1149</v>
      </c>
      <c r="D504" t="s">
        <v>780</v>
      </c>
      <c r="E504" t="s">
        <v>135</v>
      </c>
      <c r="F504" t="s">
        <v>1150</v>
      </c>
      <c r="G504" t="str">
        <f>"00268139"</f>
        <v>00268139</v>
      </c>
      <c r="H504" t="s">
        <v>850</v>
      </c>
      <c r="I504">
        <v>0</v>
      </c>
      <c r="J504">
        <v>0</v>
      </c>
      <c r="K504">
        <v>0</v>
      </c>
      <c r="L504">
        <v>0</v>
      </c>
      <c r="M504">
        <v>100</v>
      </c>
      <c r="N504">
        <v>30</v>
      </c>
      <c r="O504">
        <v>0</v>
      </c>
      <c r="P504">
        <v>30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60</v>
      </c>
      <c r="W504">
        <v>420</v>
      </c>
      <c r="X504">
        <v>0</v>
      </c>
      <c r="Z504">
        <v>0</v>
      </c>
      <c r="AA504">
        <v>0</v>
      </c>
      <c r="AB504">
        <v>24</v>
      </c>
      <c r="AC504">
        <v>408</v>
      </c>
      <c r="AD504" t="s">
        <v>1151</v>
      </c>
    </row>
    <row r="505" spans="1:30" x14ac:dyDescent="0.25">
      <c r="H505" t="s">
        <v>1152</v>
      </c>
    </row>
    <row r="506" spans="1:30" x14ac:dyDescent="0.25">
      <c r="A506">
        <v>250</v>
      </c>
      <c r="B506">
        <v>2786</v>
      </c>
      <c r="C506" t="s">
        <v>1153</v>
      </c>
      <c r="D506" t="s">
        <v>147</v>
      </c>
      <c r="E506" t="s">
        <v>103</v>
      </c>
      <c r="F506" t="s">
        <v>1154</v>
      </c>
      <c r="G506" t="str">
        <f>"201406007165"</f>
        <v>201406007165</v>
      </c>
      <c r="H506" t="s">
        <v>752</v>
      </c>
      <c r="I506">
        <v>0</v>
      </c>
      <c r="J506">
        <v>0</v>
      </c>
      <c r="K506">
        <v>0</v>
      </c>
      <c r="L506">
        <v>200</v>
      </c>
      <c r="M506">
        <v>30</v>
      </c>
      <c r="N506">
        <v>70</v>
      </c>
      <c r="O506">
        <v>50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1155</v>
      </c>
    </row>
    <row r="507" spans="1:30" x14ac:dyDescent="0.25">
      <c r="H507" t="s">
        <v>1156</v>
      </c>
    </row>
    <row r="508" spans="1:30" x14ac:dyDescent="0.25">
      <c r="A508">
        <v>251</v>
      </c>
      <c r="B508">
        <v>4520</v>
      </c>
      <c r="C508" t="s">
        <v>1157</v>
      </c>
      <c r="D508" t="s">
        <v>593</v>
      </c>
      <c r="E508" t="s">
        <v>158</v>
      </c>
      <c r="F508" t="s">
        <v>1158</v>
      </c>
      <c r="G508" t="str">
        <f>"00332141"</f>
        <v>00332141</v>
      </c>
      <c r="H508" t="s">
        <v>1159</v>
      </c>
      <c r="I508">
        <v>0</v>
      </c>
      <c r="J508">
        <v>0</v>
      </c>
      <c r="K508">
        <v>0</v>
      </c>
      <c r="L508">
        <v>200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1160</v>
      </c>
    </row>
    <row r="509" spans="1:30" x14ac:dyDescent="0.25">
      <c r="H509" t="s">
        <v>1161</v>
      </c>
    </row>
    <row r="510" spans="1:30" x14ac:dyDescent="0.25">
      <c r="A510">
        <v>252</v>
      </c>
      <c r="B510">
        <v>2367</v>
      </c>
      <c r="C510" t="s">
        <v>1162</v>
      </c>
      <c r="D510" t="s">
        <v>89</v>
      </c>
      <c r="E510" t="s">
        <v>135</v>
      </c>
      <c r="F510" t="s">
        <v>1163</v>
      </c>
      <c r="G510" t="str">
        <f>"201504000975"</f>
        <v>201504000975</v>
      </c>
      <c r="H510" t="s">
        <v>1164</v>
      </c>
      <c r="I510">
        <v>0</v>
      </c>
      <c r="J510">
        <v>0</v>
      </c>
      <c r="K510">
        <v>0</v>
      </c>
      <c r="L510">
        <v>200</v>
      </c>
      <c r="M510">
        <v>0</v>
      </c>
      <c r="N510">
        <v>30</v>
      </c>
      <c r="O510">
        <v>30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76</v>
      </c>
      <c r="W510">
        <v>532</v>
      </c>
      <c r="X510">
        <v>0</v>
      </c>
      <c r="Z510">
        <v>0</v>
      </c>
      <c r="AA510">
        <v>0</v>
      </c>
      <c r="AB510">
        <v>8</v>
      </c>
      <c r="AC510">
        <v>136</v>
      </c>
      <c r="AD510" t="s">
        <v>1160</v>
      </c>
    </row>
    <row r="511" spans="1:30" x14ac:dyDescent="0.25">
      <c r="H511" t="s">
        <v>1165</v>
      </c>
    </row>
    <row r="512" spans="1:30" x14ac:dyDescent="0.25">
      <c r="A512">
        <v>253</v>
      </c>
      <c r="B512">
        <v>4618</v>
      </c>
      <c r="C512" t="s">
        <v>1166</v>
      </c>
      <c r="D512" t="s">
        <v>203</v>
      </c>
      <c r="E512" t="s">
        <v>808</v>
      </c>
      <c r="F512" t="s">
        <v>1167</v>
      </c>
      <c r="G512" t="str">
        <f>"00341324"</f>
        <v>00341324</v>
      </c>
      <c r="H512">
        <v>770</v>
      </c>
      <c r="I512">
        <v>0</v>
      </c>
      <c r="J512">
        <v>0</v>
      </c>
      <c r="K512">
        <v>0</v>
      </c>
      <c r="L512">
        <v>260</v>
      </c>
      <c r="M512">
        <v>0</v>
      </c>
      <c r="N512">
        <v>70</v>
      </c>
      <c r="O512">
        <v>0</v>
      </c>
      <c r="P512">
        <v>30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>
        <v>0</v>
      </c>
      <c r="AB512">
        <v>0</v>
      </c>
      <c r="AC512">
        <v>0</v>
      </c>
      <c r="AD512">
        <v>1718</v>
      </c>
    </row>
    <row r="513" spans="1:30" x14ac:dyDescent="0.25">
      <c r="H513" t="s">
        <v>1168</v>
      </c>
    </row>
    <row r="514" spans="1:30" x14ac:dyDescent="0.25">
      <c r="A514">
        <v>254</v>
      </c>
      <c r="B514">
        <v>468</v>
      </c>
      <c r="C514" t="s">
        <v>1169</v>
      </c>
      <c r="D514" t="s">
        <v>327</v>
      </c>
      <c r="E514" t="s">
        <v>42</v>
      </c>
      <c r="F514" t="s">
        <v>1170</v>
      </c>
      <c r="G514" t="str">
        <f>"00281355"</f>
        <v>00281355</v>
      </c>
      <c r="H514" t="s">
        <v>535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1171</v>
      </c>
    </row>
    <row r="515" spans="1:30" x14ac:dyDescent="0.25">
      <c r="H515">
        <v>1079</v>
      </c>
    </row>
    <row r="516" spans="1:30" x14ac:dyDescent="0.25">
      <c r="A516">
        <v>255</v>
      </c>
      <c r="B516">
        <v>376</v>
      </c>
      <c r="C516" t="s">
        <v>1172</v>
      </c>
      <c r="D516" t="s">
        <v>664</v>
      </c>
      <c r="E516" t="s">
        <v>15</v>
      </c>
      <c r="F516" t="s">
        <v>1173</v>
      </c>
      <c r="G516" t="str">
        <f>"00140154"</f>
        <v>00140154</v>
      </c>
      <c r="H516" t="s">
        <v>1174</v>
      </c>
      <c r="I516">
        <v>0</v>
      </c>
      <c r="J516">
        <v>0</v>
      </c>
      <c r="K516">
        <v>0</v>
      </c>
      <c r="L516">
        <v>200</v>
      </c>
      <c r="M516">
        <v>30</v>
      </c>
      <c r="N516">
        <v>70</v>
      </c>
      <c r="O516">
        <v>0</v>
      </c>
      <c r="P516">
        <v>30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1175</v>
      </c>
    </row>
    <row r="517" spans="1:30" x14ac:dyDescent="0.25">
      <c r="H517" t="s">
        <v>1176</v>
      </c>
    </row>
    <row r="518" spans="1:30" x14ac:dyDescent="0.25">
      <c r="A518">
        <v>256</v>
      </c>
      <c r="B518">
        <v>2915</v>
      </c>
      <c r="C518" t="s">
        <v>392</v>
      </c>
      <c r="D518" t="s">
        <v>393</v>
      </c>
      <c r="E518" t="s">
        <v>119</v>
      </c>
      <c r="F518" t="s">
        <v>394</v>
      </c>
      <c r="G518" t="str">
        <f>"00020723"</f>
        <v>00020723</v>
      </c>
      <c r="H518" t="s">
        <v>395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70</v>
      </c>
      <c r="O518">
        <v>0</v>
      </c>
      <c r="P518">
        <v>0</v>
      </c>
      <c r="Q518">
        <v>0</v>
      </c>
      <c r="R518">
        <v>30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1177</v>
      </c>
    </row>
    <row r="519" spans="1:30" x14ac:dyDescent="0.25">
      <c r="H519" t="s">
        <v>397</v>
      </c>
    </row>
    <row r="520" spans="1:30" x14ac:dyDescent="0.25">
      <c r="A520">
        <v>257</v>
      </c>
      <c r="B520">
        <v>2511</v>
      </c>
      <c r="C520" t="s">
        <v>1178</v>
      </c>
      <c r="D520" t="s">
        <v>296</v>
      </c>
      <c r="E520" t="s">
        <v>42</v>
      </c>
      <c r="F520" t="s">
        <v>1179</v>
      </c>
      <c r="G520" t="str">
        <f>"200712004417"</f>
        <v>200712004417</v>
      </c>
      <c r="H520" t="s">
        <v>656</v>
      </c>
      <c r="I520">
        <v>0</v>
      </c>
      <c r="J520">
        <v>0</v>
      </c>
      <c r="K520">
        <v>0</v>
      </c>
      <c r="L520">
        <v>0</v>
      </c>
      <c r="M520">
        <v>100</v>
      </c>
      <c r="N520">
        <v>70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60</v>
      </c>
      <c r="W520">
        <v>420</v>
      </c>
      <c r="X520">
        <v>0</v>
      </c>
      <c r="Z520">
        <v>0</v>
      </c>
      <c r="AA520">
        <v>0</v>
      </c>
      <c r="AB520">
        <v>24</v>
      </c>
      <c r="AC520">
        <v>408</v>
      </c>
      <c r="AD520" t="s">
        <v>1177</v>
      </c>
    </row>
    <row r="521" spans="1:30" x14ac:dyDescent="0.25">
      <c r="H521" t="s">
        <v>1180</v>
      </c>
    </row>
    <row r="522" spans="1:30" x14ac:dyDescent="0.25">
      <c r="A522">
        <v>258</v>
      </c>
      <c r="B522">
        <v>1554</v>
      </c>
      <c r="C522" t="s">
        <v>1181</v>
      </c>
      <c r="D522" t="s">
        <v>780</v>
      </c>
      <c r="E522" t="s">
        <v>28</v>
      </c>
      <c r="F522" t="s">
        <v>1182</v>
      </c>
      <c r="G522" t="str">
        <f>"00109607"</f>
        <v>00109607</v>
      </c>
      <c r="H522" t="s">
        <v>498</v>
      </c>
      <c r="I522">
        <v>0</v>
      </c>
      <c r="J522">
        <v>0</v>
      </c>
      <c r="K522">
        <v>0</v>
      </c>
      <c r="L522">
        <v>200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72</v>
      </c>
      <c r="W522">
        <v>504</v>
      </c>
      <c r="X522">
        <v>0</v>
      </c>
      <c r="Z522">
        <v>0</v>
      </c>
      <c r="AA522">
        <v>0</v>
      </c>
      <c r="AB522">
        <v>12</v>
      </c>
      <c r="AC522">
        <v>204</v>
      </c>
      <c r="AD522" t="s">
        <v>1183</v>
      </c>
    </row>
    <row r="523" spans="1:30" x14ac:dyDescent="0.25">
      <c r="H523" t="s">
        <v>1184</v>
      </c>
    </row>
    <row r="524" spans="1:30" x14ac:dyDescent="0.25">
      <c r="A524">
        <v>259</v>
      </c>
      <c r="B524">
        <v>2191</v>
      </c>
      <c r="C524" t="s">
        <v>1185</v>
      </c>
      <c r="D524" t="s">
        <v>89</v>
      </c>
      <c r="E524" t="s">
        <v>77</v>
      </c>
      <c r="F524" t="s">
        <v>1186</v>
      </c>
      <c r="G524" t="str">
        <f>"00018203"</f>
        <v>00018203</v>
      </c>
      <c r="H524" t="s">
        <v>184</v>
      </c>
      <c r="I524">
        <v>0</v>
      </c>
      <c r="J524">
        <v>0</v>
      </c>
      <c r="K524">
        <v>0</v>
      </c>
      <c r="L524">
        <v>200</v>
      </c>
      <c r="M524">
        <v>30</v>
      </c>
      <c r="N524">
        <v>70</v>
      </c>
      <c r="O524">
        <v>30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1187</v>
      </c>
    </row>
    <row r="525" spans="1:30" x14ac:dyDescent="0.25">
      <c r="H525" t="s">
        <v>1188</v>
      </c>
    </row>
    <row r="526" spans="1:30" x14ac:dyDescent="0.25">
      <c r="A526">
        <v>260</v>
      </c>
      <c r="B526">
        <v>531</v>
      </c>
      <c r="C526" t="s">
        <v>1189</v>
      </c>
      <c r="D526" t="s">
        <v>357</v>
      </c>
      <c r="E526" t="s">
        <v>136</v>
      </c>
      <c r="F526" t="s">
        <v>1190</v>
      </c>
      <c r="G526" t="str">
        <f>"00250237"</f>
        <v>00250237</v>
      </c>
      <c r="H526" t="s">
        <v>79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70</v>
      </c>
      <c r="O526">
        <v>70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1191</v>
      </c>
    </row>
    <row r="527" spans="1:30" x14ac:dyDescent="0.25">
      <c r="H527" t="s">
        <v>1192</v>
      </c>
    </row>
    <row r="528" spans="1:30" x14ac:dyDescent="0.25">
      <c r="A528">
        <v>261</v>
      </c>
      <c r="B528">
        <v>4275</v>
      </c>
      <c r="C528" t="s">
        <v>1193</v>
      </c>
      <c r="D528" t="s">
        <v>1194</v>
      </c>
      <c r="E528" t="s">
        <v>59</v>
      </c>
      <c r="F528" t="s">
        <v>1195</v>
      </c>
      <c r="G528" t="str">
        <f>"201402003140"</f>
        <v>201402003140</v>
      </c>
      <c r="H528" t="s">
        <v>227</v>
      </c>
      <c r="I528">
        <v>0</v>
      </c>
      <c r="J528">
        <v>0</v>
      </c>
      <c r="K528">
        <v>0</v>
      </c>
      <c r="L528">
        <v>200</v>
      </c>
      <c r="M528">
        <v>0</v>
      </c>
      <c r="N528">
        <v>70</v>
      </c>
      <c r="O528">
        <v>30</v>
      </c>
      <c r="P528">
        <v>0</v>
      </c>
      <c r="Q528">
        <v>0</v>
      </c>
      <c r="R528">
        <v>70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6</v>
      </c>
      <c r="Y528">
        <v>1084</v>
      </c>
      <c r="Z528">
        <v>0</v>
      </c>
      <c r="AA528">
        <v>0</v>
      </c>
      <c r="AB528">
        <v>0</v>
      </c>
      <c r="AC528">
        <v>0</v>
      </c>
      <c r="AD528" t="s">
        <v>1196</v>
      </c>
    </row>
    <row r="529" spans="1:30" x14ac:dyDescent="0.25">
      <c r="H529">
        <v>1084</v>
      </c>
    </row>
    <row r="530" spans="1:30" x14ac:dyDescent="0.25">
      <c r="A530">
        <v>262</v>
      </c>
      <c r="B530">
        <v>478</v>
      </c>
      <c r="C530" t="s">
        <v>1197</v>
      </c>
      <c r="D530" t="s">
        <v>125</v>
      </c>
      <c r="E530" t="s">
        <v>1198</v>
      </c>
      <c r="F530" t="s">
        <v>1199</v>
      </c>
      <c r="G530" t="str">
        <f>"00081897"</f>
        <v>00081897</v>
      </c>
      <c r="H530" t="s">
        <v>1022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50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1200</v>
      </c>
    </row>
    <row r="531" spans="1:30" x14ac:dyDescent="0.25">
      <c r="H531" t="s">
        <v>1201</v>
      </c>
    </row>
    <row r="532" spans="1:30" x14ac:dyDescent="0.25">
      <c r="A532">
        <v>263</v>
      </c>
      <c r="B532">
        <v>617</v>
      </c>
      <c r="C532" t="s">
        <v>1202</v>
      </c>
      <c r="D532" t="s">
        <v>77</v>
      </c>
      <c r="E532" t="s">
        <v>300</v>
      </c>
      <c r="F532" t="s">
        <v>1203</v>
      </c>
      <c r="G532" t="str">
        <f>"201402007742"</f>
        <v>201402007742</v>
      </c>
      <c r="H532" t="s">
        <v>425</v>
      </c>
      <c r="I532">
        <v>150</v>
      </c>
      <c r="J532">
        <v>0</v>
      </c>
      <c r="K532">
        <v>0</v>
      </c>
      <c r="L532">
        <v>200</v>
      </c>
      <c r="M532">
        <v>0</v>
      </c>
      <c r="N532">
        <v>70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68</v>
      </c>
      <c r="W532">
        <v>476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1204</v>
      </c>
    </row>
    <row r="533" spans="1:30" x14ac:dyDescent="0.25">
      <c r="H533" t="s">
        <v>1205</v>
      </c>
    </row>
    <row r="534" spans="1:30" x14ac:dyDescent="0.25">
      <c r="A534">
        <v>264</v>
      </c>
      <c r="B534">
        <v>2375</v>
      </c>
      <c r="C534" t="s">
        <v>1206</v>
      </c>
      <c r="D534" t="s">
        <v>352</v>
      </c>
      <c r="E534" t="s">
        <v>174</v>
      </c>
      <c r="F534" t="s">
        <v>1207</v>
      </c>
      <c r="G534" t="str">
        <f>"200808000735"</f>
        <v>200808000735</v>
      </c>
      <c r="H534" t="s">
        <v>30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30</v>
      </c>
      <c r="O534">
        <v>0</v>
      </c>
      <c r="P534">
        <v>50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1208</v>
      </c>
    </row>
    <row r="535" spans="1:30" x14ac:dyDescent="0.25">
      <c r="H535">
        <v>1079</v>
      </c>
    </row>
    <row r="536" spans="1:30" x14ac:dyDescent="0.25">
      <c r="A536">
        <v>265</v>
      </c>
      <c r="B536">
        <v>265</v>
      </c>
      <c r="C536" t="s">
        <v>1209</v>
      </c>
      <c r="D536" t="s">
        <v>1210</v>
      </c>
      <c r="E536" t="s">
        <v>148</v>
      </c>
      <c r="F536" t="s">
        <v>1211</v>
      </c>
      <c r="G536" t="str">
        <f>"00032536"</f>
        <v>00032536</v>
      </c>
      <c r="H536" t="s">
        <v>348</v>
      </c>
      <c r="I536">
        <v>0</v>
      </c>
      <c r="J536">
        <v>0</v>
      </c>
      <c r="K536">
        <v>0</v>
      </c>
      <c r="L536">
        <v>0</v>
      </c>
      <c r="M536">
        <v>100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60</v>
      </c>
      <c r="W536">
        <v>420</v>
      </c>
      <c r="X536">
        <v>0</v>
      </c>
      <c r="Z536">
        <v>0</v>
      </c>
      <c r="AA536">
        <v>0</v>
      </c>
      <c r="AB536">
        <v>24</v>
      </c>
      <c r="AC536">
        <v>408</v>
      </c>
      <c r="AD536" t="s">
        <v>1212</v>
      </c>
    </row>
    <row r="537" spans="1:30" x14ac:dyDescent="0.25">
      <c r="H537" t="s">
        <v>834</v>
      </c>
    </row>
    <row r="538" spans="1:30" x14ac:dyDescent="0.25">
      <c r="A538">
        <v>266</v>
      </c>
      <c r="B538">
        <v>1884</v>
      </c>
      <c r="C538" t="s">
        <v>1213</v>
      </c>
      <c r="D538" t="s">
        <v>77</v>
      </c>
      <c r="E538" t="s">
        <v>203</v>
      </c>
      <c r="F538" t="s">
        <v>1214</v>
      </c>
      <c r="G538" t="str">
        <f>"00082052"</f>
        <v>00082052</v>
      </c>
      <c r="H538" t="s">
        <v>1215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1216</v>
      </c>
    </row>
    <row r="539" spans="1:30" x14ac:dyDescent="0.25">
      <c r="H539">
        <v>1089</v>
      </c>
    </row>
    <row r="540" spans="1:30" x14ac:dyDescent="0.25">
      <c r="A540">
        <v>267</v>
      </c>
      <c r="B540">
        <v>2124</v>
      </c>
      <c r="C540" t="s">
        <v>1217</v>
      </c>
      <c r="D540" t="s">
        <v>135</v>
      </c>
      <c r="E540" t="s">
        <v>203</v>
      </c>
      <c r="F540" t="s">
        <v>1218</v>
      </c>
      <c r="G540" t="str">
        <f>"201402010305"</f>
        <v>201402010305</v>
      </c>
      <c r="H540" t="s">
        <v>289</v>
      </c>
      <c r="I540">
        <v>150</v>
      </c>
      <c r="J540">
        <v>0</v>
      </c>
      <c r="K540">
        <v>0</v>
      </c>
      <c r="L540">
        <v>200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76</v>
      </c>
      <c r="W540">
        <v>532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1219</v>
      </c>
    </row>
    <row r="541" spans="1:30" x14ac:dyDescent="0.25">
      <c r="H541" t="s">
        <v>1220</v>
      </c>
    </row>
    <row r="542" spans="1:30" x14ac:dyDescent="0.25">
      <c r="A542">
        <v>268</v>
      </c>
      <c r="B542">
        <v>2022</v>
      </c>
      <c r="C542" t="s">
        <v>1221</v>
      </c>
      <c r="D542" t="s">
        <v>1222</v>
      </c>
      <c r="E542" t="s">
        <v>66</v>
      </c>
      <c r="F542" t="s">
        <v>1223</v>
      </c>
      <c r="G542" t="str">
        <f>"201402003296"</f>
        <v>201402003296</v>
      </c>
      <c r="H542" t="s">
        <v>335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70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1224</v>
      </c>
    </row>
    <row r="543" spans="1:30" x14ac:dyDescent="0.25">
      <c r="H543" t="s">
        <v>1225</v>
      </c>
    </row>
    <row r="544" spans="1:30" x14ac:dyDescent="0.25">
      <c r="A544">
        <v>269</v>
      </c>
      <c r="B544">
        <v>1942</v>
      </c>
      <c r="C544" t="s">
        <v>1226</v>
      </c>
      <c r="D544" t="s">
        <v>14</v>
      </c>
      <c r="E544" t="s">
        <v>28</v>
      </c>
      <c r="F544" t="s">
        <v>1227</v>
      </c>
      <c r="G544" t="str">
        <f>"201504003156"</f>
        <v>201504003156</v>
      </c>
      <c r="H544" t="s">
        <v>1228</v>
      </c>
      <c r="I544">
        <v>0</v>
      </c>
      <c r="J544">
        <v>0</v>
      </c>
      <c r="K544">
        <v>0</v>
      </c>
      <c r="L544">
        <v>200</v>
      </c>
      <c r="M544">
        <v>0</v>
      </c>
      <c r="N544">
        <v>70</v>
      </c>
      <c r="O544">
        <v>0</v>
      </c>
      <c r="P544">
        <v>30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1229</v>
      </c>
    </row>
    <row r="545" spans="1:30" x14ac:dyDescent="0.25">
      <c r="H545" t="s">
        <v>1230</v>
      </c>
    </row>
    <row r="546" spans="1:30" x14ac:dyDescent="0.25">
      <c r="A546">
        <v>270</v>
      </c>
      <c r="B546">
        <v>2730</v>
      </c>
      <c r="C546" t="s">
        <v>1231</v>
      </c>
      <c r="D546" t="s">
        <v>1232</v>
      </c>
      <c r="E546" t="s">
        <v>294</v>
      </c>
      <c r="F546" t="s">
        <v>1233</v>
      </c>
      <c r="G546" t="str">
        <f>"00369035"</f>
        <v>00369035</v>
      </c>
      <c r="H546" t="s">
        <v>777</v>
      </c>
      <c r="I546">
        <v>0</v>
      </c>
      <c r="J546">
        <v>0</v>
      </c>
      <c r="K546">
        <v>0</v>
      </c>
      <c r="L546">
        <v>0</v>
      </c>
      <c r="M546">
        <v>100</v>
      </c>
      <c r="N546">
        <v>70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60</v>
      </c>
      <c r="W546">
        <v>420</v>
      </c>
      <c r="X546">
        <v>0</v>
      </c>
      <c r="Z546">
        <v>0</v>
      </c>
      <c r="AA546">
        <v>0</v>
      </c>
      <c r="AB546">
        <v>24</v>
      </c>
      <c r="AC546">
        <v>408</v>
      </c>
      <c r="AD546" t="s">
        <v>1229</v>
      </c>
    </row>
    <row r="547" spans="1:30" x14ac:dyDescent="0.25">
      <c r="H547" t="s">
        <v>1234</v>
      </c>
    </row>
    <row r="548" spans="1:30" x14ac:dyDescent="0.25">
      <c r="A548">
        <v>271</v>
      </c>
      <c r="B548">
        <v>1031</v>
      </c>
      <c r="C548" t="s">
        <v>685</v>
      </c>
      <c r="D548" t="s">
        <v>49</v>
      </c>
      <c r="E548" t="s">
        <v>435</v>
      </c>
      <c r="F548" t="s">
        <v>686</v>
      </c>
      <c r="G548" t="str">
        <f>"201402007255"</f>
        <v>201402007255</v>
      </c>
      <c r="H548" t="s">
        <v>166</v>
      </c>
      <c r="I548">
        <v>0</v>
      </c>
      <c r="J548">
        <v>0</v>
      </c>
      <c r="K548">
        <v>0</v>
      </c>
      <c r="L548">
        <v>260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1235</v>
      </c>
    </row>
    <row r="549" spans="1:30" x14ac:dyDescent="0.25">
      <c r="H549" t="s">
        <v>688</v>
      </c>
    </row>
    <row r="550" spans="1:30" x14ac:dyDescent="0.25">
      <c r="A550">
        <v>272</v>
      </c>
      <c r="B550">
        <v>225</v>
      </c>
      <c r="C550" t="s">
        <v>1236</v>
      </c>
      <c r="D550" t="s">
        <v>408</v>
      </c>
      <c r="E550" t="s">
        <v>35</v>
      </c>
      <c r="F550" t="s">
        <v>1237</v>
      </c>
      <c r="G550" t="str">
        <f>"201504000022"</f>
        <v>201504000022</v>
      </c>
      <c r="H550">
        <v>847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84</v>
      </c>
      <c r="W550">
        <v>588</v>
      </c>
      <c r="X550">
        <v>0</v>
      </c>
      <c r="Z550">
        <v>0</v>
      </c>
      <c r="AA550">
        <v>0</v>
      </c>
      <c r="AB550">
        <v>0</v>
      </c>
      <c r="AC550">
        <v>0</v>
      </c>
      <c r="AD550">
        <v>1705</v>
      </c>
    </row>
    <row r="551" spans="1:30" x14ac:dyDescent="0.25">
      <c r="H551" t="s">
        <v>1238</v>
      </c>
    </row>
    <row r="552" spans="1:30" x14ac:dyDescent="0.25">
      <c r="A552">
        <v>273</v>
      </c>
      <c r="B552">
        <v>4822</v>
      </c>
      <c r="C552" t="s">
        <v>1239</v>
      </c>
      <c r="D552" t="s">
        <v>1240</v>
      </c>
      <c r="E552" t="s">
        <v>28</v>
      </c>
      <c r="F552" t="s">
        <v>1241</v>
      </c>
      <c r="G552" t="str">
        <f>"00152302"</f>
        <v>00152302</v>
      </c>
      <c r="H552" t="s">
        <v>184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70</v>
      </c>
      <c r="O552">
        <v>0</v>
      </c>
      <c r="P552">
        <v>50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1242</v>
      </c>
    </row>
    <row r="553" spans="1:30" x14ac:dyDescent="0.25">
      <c r="H553" t="s">
        <v>1243</v>
      </c>
    </row>
    <row r="554" spans="1:30" x14ac:dyDescent="0.25">
      <c r="A554">
        <v>274</v>
      </c>
      <c r="B554">
        <v>2171</v>
      </c>
      <c r="C554" t="s">
        <v>1244</v>
      </c>
      <c r="D554" t="s">
        <v>1245</v>
      </c>
      <c r="E554" t="s">
        <v>203</v>
      </c>
      <c r="F554" t="s">
        <v>1246</v>
      </c>
      <c r="G554" t="str">
        <f>"00251144"</f>
        <v>00251144</v>
      </c>
      <c r="H554" t="s">
        <v>1247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1</v>
      </c>
      <c r="AA554">
        <v>0</v>
      </c>
      <c r="AB554">
        <v>0</v>
      </c>
      <c r="AC554">
        <v>0</v>
      </c>
      <c r="AD554" t="s">
        <v>1248</v>
      </c>
    </row>
    <row r="555" spans="1:30" x14ac:dyDescent="0.25">
      <c r="H555" t="s">
        <v>1249</v>
      </c>
    </row>
    <row r="556" spans="1:30" x14ac:dyDescent="0.25">
      <c r="A556">
        <v>275</v>
      </c>
      <c r="B556">
        <v>2623</v>
      </c>
      <c r="C556" t="s">
        <v>412</v>
      </c>
      <c r="D556" t="s">
        <v>142</v>
      </c>
      <c r="E556" t="s">
        <v>352</v>
      </c>
      <c r="F556" t="s">
        <v>413</v>
      </c>
      <c r="G556" t="str">
        <f>"201504002314"</f>
        <v>201504002314</v>
      </c>
      <c r="H556" t="s">
        <v>414</v>
      </c>
      <c r="I556">
        <v>0</v>
      </c>
      <c r="J556">
        <v>0</v>
      </c>
      <c r="K556">
        <v>0</v>
      </c>
      <c r="L556">
        <v>260</v>
      </c>
      <c r="M556">
        <v>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1250</v>
      </c>
    </row>
    <row r="557" spans="1:30" x14ac:dyDescent="0.25">
      <c r="H557" t="s">
        <v>416</v>
      </c>
    </row>
    <row r="558" spans="1:30" x14ac:dyDescent="0.25">
      <c r="A558">
        <v>276</v>
      </c>
      <c r="B558">
        <v>4119</v>
      </c>
      <c r="C558" t="s">
        <v>1251</v>
      </c>
      <c r="D558" t="s">
        <v>225</v>
      </c>
      <c r="E558" t="s">
        <v>59</v>
      </c>
      <c r="F558" t="s">
        <v>1252</v>
      </c>
      <c r="G558" t="str">
        <f>"00212514"</f>
        <v>00212514</v>
      </c>
      <c r="H558">
        <v>814</v>
      </c>
      <c r="I558">
        <v>0</v>
      </c>
      <c r="J558">
        <v>0</v>
      </c>
      <c r="K558">
        <v>0</v>
      </c>
      <c r="L558">
        <v>200</v>
      </c>
      <c r="M558">
        <v>30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>
        <v>1702</v>
      </c>
    </row>
    <row r="559" spans="1:30" x14ac:dyDescent="0.25">
      <c r="H559">
        <v>1079</v>
      </c>
    </row>
    <row r="560" spans="1:30" x14ac:dyDescent="0.25">
      <c r="A560">
        <v>277</v>
      </c>
      <c r="B560">
        <v>3492</v>
      </c>
      <c r="C560" t="s">
        <v>422</v>
      </c>
      <c r="D560" t="s">
        <v>423</v>
      </c>
      <c r="E560" t="s">
        <v>300</v>
      </c>
      <c r="F560" t="s">
        <v>424</v>
      </c>
      <c r="G560" t="str">
        <f>"00363278"</f>
        <v>00363278</v>
      </c>
      <c r="H560" t="s">
        <v>425</v>
      </c>
      <c r="I560">
        <v>0</v>
      </c>
      <c r="J560">
        <v>0</v>
      </c>
      <c r="K560">
        <v>0</v>
      </c>
      <c r="L560">
        <v>200</v>
      </c>
      <c r="M560">
        <v>0</v>
      </c>
      <c r="N560">
        <v>50</v>
      </c>
      <c r="O560">
        <v>50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1253</v>
      </c>
    </row>
    <row r="561" spans="1:30" x14ac:dyDescent="0.25">
      <c r="H561" t="s">
        <v>427</v>
      </c>
    </row>
    <row r="562" spans="1:30" x14ac:dyDescent="0.25">
      <c r="A562">
        <v>278</v>
      </c>
      <c r="B562">
        <v>1714</v>
      </c>
      <c r="C562" t="s">
        <v>1254</v>
      </c>
      <c r="D562" t="s">
        <v>142</v>
      </c>
      <c r="E562" t="s">
        <v>28</v>
      </c>
      <c r="F562" t="s">
        <v>1255</v>
      </c>
      <c r="G562" t="str">
        <f>"00212794"</f>
        <v>00212794</v>
      </c>
      <c r="H562" t="s">
        <v>723</v>
      </c>
      <c r="I562">
        <v>150</v>
      </c>
      <c r="J562">
        <v>0</v>
      </c>
      <c r="K562">
        <v>0</v>
      </c>
      <c r="L562">
        <v>200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1256</v>
      </c>
    </row>
    <row r="563" spans="1:30" x14ac:dyDescent="0.25">
      <c r="H563" t="s">
        <v>1257</v>
      </c>
    </row>
    <row r="564" spans="1:30" x14ac:dyDescent="0.25">
      <c r="A564">
        <v>279</v>
      </c>
      <c r="B564">
        <v>4170</v>
      </c>
      <c r="C564" t="s">
        <v>1258</v>
      </c>
      <c r="D564" t="s">
        <v>614</v>
      </c>
      <c r="E564" t="s">
        <v>148</v>
      </c>
      <c r="F564" t="s">
        <v>1259</v>
      </c>
      <c r="G564" t="str">
        <f>"201512000781"</f>
        <v>201512000781</v>
      </c>
      <c r="H564" t="s">
        <v>986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70</v>
      </c>
      <c r="O564">
        <v>0</v>
      </c>
      <c r="P564">
        <v>0</v>
      </c>
      <c r="Q564">
        <v>50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1260</v>
      </c>
    </row>
    <row r="565" spans="1:30" x14ac:dyDescent="0.25">
      <c r="H565" t="s">
        <v>1261</v>
      </c>
    </row>
    <row r="566" spans="1:30" x14ac:dyDescent="0.25">
      <c r="A566">
        <v>280</v>
      </c>
      <c r="B566">
        <v>1760</v>
      </c>
      <c r="C566" t="s">
        <v>1262</v>
      </c>
      <c r="D566" t="s">
        <v>1263</v>
      </c>
      <c r="E566" t="s">
        <v>77</v>
      </c>
      <c r="F566" t="s">
        <v>1264</v>
      </c>
      <c r="G566" t="str">
        <f>"201504003182"</f>
        <v>201504003182</v>
      </c>
      <c r="H566">
        <v>770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0</v>
      </c>
      <c r="P566">
        <v>0</v>
      </c>
      <c r="Q566">
        <v>70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>
        <v>1698</v>
      </c>
    </row>
    <row r="567" spans="1:30" x14ac:dyDescent="0.25">
      <c r="H567" t="s">
        <v>1265</v>
      </c>
    </row>
    <row r="568" spans="1:30" x14ac:dyDescent="0.25">
      <c r="A568">
        <v>281</v>
      </c>
      <c r="B568">
        <v>1356</v>
      </c>
      <c r="C568" t="s">
        <v>1128</v>
      </c>
      <c r="D568" t="s">
        <v>593</v>
      </c>
      <c r="E568" t="s">
        <v>42</v>
      </c>
      <c r="F568" t="s">
        <v>1266</v>
      </c>
      <c r="G568" t="str">
        <f>"200712002823"</f>
        <v>200712002823</v>
      </c>
      <c r="H568" t="s">
        <v>624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70</v>
      </c>
      <c r="R568">
        <v>0</v>
      </c>
      <c r="S568">
        <v>0</v>
      </c>
      <c r="T568">
        <v>0</v>
      </c>
      <c r="U568">
        <v>0</v>
      </c>
      <c r="V568">
        <v>60</v>
      </c>
      <c r="W568">
        <v>420</v>
      </c>
      <c r="X568">
        <v>0</v>
      </c>
      <c r="Z568">
        <v>0</v>
      </c>
      <c r="AA568">
        <v>0</v>
      </c>
      <c r="AB568">
        <v>24</v>
      </c>
      <c r="AC568">
        <v>408</v>
      </c>
      <c r="AD568" t="s">
        <v>1267</v>
      </c>
    </row>
    <row r="569" spans="1:30" x14ac:dyDescent="0.25">
      <c r="H569" t="s">
        <v>1268</v>
      </c>
    </row>
    <row r="570" spans="1:30" x14ac:dyDescent="0.25">
      <c r="A570">
        <v>282</v>
      </c>
      <c r="B570">
        <v>374</v>
      </c>
      <c r="C570" t="s">
        <v>1269</v>
      </c>
      <c r="D570" t="s">
        <v>1270</v>
      </c>
      <c r="E570" t="s">
        <v>1271</v>
      </c>
      <c r="F570" t="s">
        <v>1272</v>
      </c>
      <c r="G570" t="str">
        <f>"200908000448"</f>
        <v>200908000448</v>
      </c>
      <c r="H570">
        <v>759</v>
      </c>
      <c r="I570">
        <v>0</v>
      </c>
      <c r="J570">
        <v>0</v>
      </c>
      <c r="K570">
        <v>0</v>
      </c>
      <c r="L570">
        <v>200</v>
      </c>
      <c r="M570">
        <v>30</v>
      </c>
      <c r="N570">
        <v>70</v>
      </c>
      <c r="O570">
        <v>50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>
        <v>1697</v>
      </c>
    </row>
    <row r="571" spans="1:30" x14ac:dyDescent="0.25">
      <c r="H571" t="s">
        <v>1273</v>
      </c>
    </row>
    <row r="572" spans="1:30" x14ac:dyDescent="0.25">
      <c r="A572">
        <v>283</v>
      </c>
      <c r="B572">
        <v>2047</v>
      </c>
      <c r="C572" t="s">
        <v>1274</v>
      </c>
      <c r="D572" t="s">
        <v>89</v>
      </c>
      <c r="E572" t="s">
        <v>300</v>
      </c>
      <c r="F572" t="s">
        <v>1275</v>
      </c>
      <c r="G572" t="str">
        <f>"200902000287"</f>
        <v>200902000287</v>
      </c>
      <c r="H572" t="s">
        <v>359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70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78</v>
      </c>
      <c r="W572">
        <v>546</v>
      </c>
      <c r="X572">
        <v>0</v>
      </c>
      <c r="Z572">
        <v>0</v>
      </c>
      <c r="AA572">
        <v>0</v>
      </c>
      <c r="AB572">
        <v>6</v>
      </c>
      <c r="AC572">
        <v>102</v>
      </c>
      <c r="AD572" t="s">
        <v>1276</v>
      </c>
    </row>
    <row r="573" spans="1:30" x14ac:dyDescent="0.25">
      <c r="H573" t="s">
        <v>1277</v>
      </c>
    </row>
    <row r="574" spans="1:30" x14ac:dyDescent="0.25">
      <c r="A574">
        <v>284</v>
      </c>
      <c r="B574">
        <v>860</v>
      </c>
      <c r="C574" t="s">
        <v>1278</v>
      </c>
      <c r="D574" t="s">
        <v>1279</v>
      </c>
      <c r="E574" t="s">
        <v>1280</v>
      </c>
      <c r="F574" t="s">
        <v>1281</v>
      </c>
      <c r="G574" t="str">
        <f>"00018519"</f>
        <v>00018519</v>
      </c>
      <c r="H574" t="s">
        <v>1282</v>
      </c>
      <c r="I574">
        <v>0</v>
      </c>
      <c r="J574">
        <v>0</v>
      </c>
      <c r="K574">
        <v>0</v>
      </c>
      <c r="L574">
        <v>200</v>
      </c>
      <c r="M574">
        <v>0</v>
      </c>
      <c r="N574">
        <v>70</v>
      </c>
      <c r="O574">
        <v>0</v>
      </c>
      <c r="P574">
        <v>30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1283</v>
      </c>
    </row>
    <row r="575" spans="1:30" x14ac:dyDescent="0.25">
      <c r="H575">
        <v>1073</v>
      </c>
    </row>
    <row r="576" spans="1:30" x14ac:dyDescent="0.25">
      <c r="A576">
        <v>285</v>
      </c>
      <c r="B576">
        <v>129</v>
      </c>
      <c r="C576" t="s">
        <v>1284</v>
      </c>
      <c r="D576" t="s">
        <v>77</v>
      </c>
      <c r="E576" t="s">
        <v>135</v>
      </c>
      <c r="F576" t="s">
        <v>1285</v>
      </c>
      <c r="G576" t="str">
        <f>"00015970"</f>
        <v>00015970</v>
      </c>
      <c r="H576" t="s">
        <v>215</v>
      </c>
      <c r="I576">
        <v>0</v>
      </c>
      <c r="J576">
        <v>0</v>
      </c>
      <c r="K576">
        <v>0</v>
      </c>
      <c r="L576">
        <v>260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84</v>
      </c>
      <c r="W576">
        <v>588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1286</v>
      </c>
    </row>
    <row r="577" spans="1:30" x14ac:dyDescent="0.25">
      <c r="H577" t="s">
        <v>1287</v>
      </c>
    </row>
    <row r="578" spans="1:30" x14ac:dyDescent="0.25">
      <c r="A578">
        <v>286</v>
      </c>
      <c r="B578">
        <v>157</v>
      </c>
      <c r="C578" t="s">
        <v>1288</v>
      </c>
      <c r="D578" t="s">
        <v>1289</v>
      </c>
      <c r="E578" t="s">
        <v>1290</v>
      </c>
      <c r="F578" t="s">
        <v>1291</v>
      </c>
      <c r="G578" t="str">
        <f>"00026298"</f>
        <v>00026298</v>
      </c>
      <c r="H578">
        <v>836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>
        <v>0</v>
      </c>
      <c r="AB578">
        <v>0</v>
      </c>
      <c r="AC578">
        <v>0</v>
      </c>
      <c r="AD578">
        <v>1694</v>
      </c>
    </row>
    <row r="579" spans="1:30" x14ac:dyDescent="0.25">
      <c r="H579" t="s">
        <v>1292</v>
      </c>
    </row>
    <row r="580" spans="1:30" x14ac:dyDescent="0.25">
      <c r="A580">
        <v>287</v>
      </c>
      <c r="B580">
        <v>3797</v>
      </c>
      <c r="C580" t="s">
        <v>1293</v>
      </c>
      <c r="D580" t="s">
        <v>264</v>
      </c>
      <c r="E580" t="s">
        <v>272</v>
      </c>
      <c r="F580" t="s">
        <v>1294</v>
      </c>
      <c r="G580" t="str">
        <f>"00109592"</f>
        <v>00109592</v>
      </c>
      <c r="H580" t="s">
        <v>541</v>
      </c>
      <c r="I580">
        <v>150</v>
      </c>
      <c r="J580">
        <v>0</v>
      </c>
      <c r="K580">
        <v>0</v>
      </c>
      <c r="L580">
        <v>0</v>
      </c>
      <c r="M580">
        <v>100</v>
      </c>
      <c r="N580">
        <v>50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1295</v>
      </c>
    </row>
    <row r="581" spans="1:30" x14ac:dyDescent="0.25">
      <c r="H581" t="s">
        <v>1296</v>
      </c>
    </row>
    <row r="582" spans="1:30" x14ac:dyDescent="0.25">
      <c r="A582">
        <v>288</v>
      </c>
      <c r="B582">
        <v>1604</v>
      </c>
      <c r="C582" t="s">
        <v>1297</v>
      </c>
      <c r="D582" t="s">
        <v>103</v>
      </c>
      <c r="E582" t="s">
        <v>42</v>
      </c>
      <c r="F582" t="s">
        <v>1298</v>
      </c>
      <c r="G582" t="str">
        <f>"201412003831"</f>
        <v>201412003831</v>
      </c>
      <c r="H582" t="s">
        <v>757</v>
      </c>
      <c r="I582">
        <v>0</v>
      </c>
      <c r="J582">
        <v>0</v>
      </c>
      <c r="K582">
        <v>0</v>
      </c>
      <c r="L582">
        <v>200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1299</v>
      </c>
    </row>
    <row r="583" spans="1:30" x14ac:dyDescent="0.25">
      <c r="H583" t="s">
        <v>1300</v>
      </c>
    </row>
    <row r="584" spans="1:30" x14ac:dyDescent="0.25">
      <c r="A584">
        <v>289</v>
      </c>
      <c r="B584">
        <v>1604</v>
      </c>
      <c r="C584" t="s">
        <v>1297</v>
      </c>
      <c r="D584" t="s">
        <v>103</v>
      </c>
      <c r="E584" t="s">
        <v>42</v>
      </c>
      <c r="F584" t="s">
        <v>1298</v>
      </c>
      <c r="G584" t="str">
        <f>"201412003831"</f>
        <v>201412003831</v>
      </c>
      <c r="H584" t="s">
        <v>757</v>
      </c>
      <c r="I584">
        <v>0</v>
      </c>
      <c r="J584">
        <v>0</v>
      </c>
      <c r="K584">
        <v>0</v>
      </c>
      <c r="L584">
        <v>200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6</v>
      </c>
      <c r="Y584">
        <v>1084</v>
      </c>
      <c r="Z584">
        <v>0</v>
      </c>
      <c r="AA584">
        <v>0</v>
      </c>
      <c r="AB584">
        <v>0</v>
      </c>
      <c r="AC584">
        <v>0</v>
      </c>
      <c r="AD584" t="s">
        <v>1299</v>
      </c>
    </row>
    <row r="585" spans="1:30" x14ac:dyDescent="0.25">
      <c r="H585" t="s">
        <v>1300</v>
      </c>
    </row>
    <row r="586" spans="1:30" x14ac:dyDescent="0.25">
      <c r="A586">
        <v>290</v>
      </c>
      <c r="B586">
        <v>4512</v>
      </c>
      <c r="C586" t="s">
        <v>1301</v>
      </c>
      <c r="D586" t="s">
        <v>627</v>
      </c>
      <c r="E586" t="s">
        <v>72</v>
      </c>
      <c r="F586" t="s">
        <v>1302</v>
      </c>
      <c r="G586" t="str">
        <f>"200802008764"</f>
        <v>200802008764</v>
      </c>
      <c r="H586" t="s">
        <v>1059</v>
      </c>
      <c r="I586">
        <v>0</v>
      </c>
      <c r="J586">
        <v>0</v>
      </c>
      <c r="K586">
        <v>0</v>
      </c>
      <c r="L586">
        <v>260</v>
      </c>
      <c r="M586">
        <v>0</v>
      </c>
      <c r="N586">
        <v>70</v>
      </c>
      <c r="O586">
        <v>0</v>
      </c>
      <c r="P586">
        <v>30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84</v>
      </c>
      <c r="W586">
        <v>588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1303</v>
      </c>
    </row>
    <row r="587" spans="1:30" x14ac:dyDescent="0.25">
      <c r="H587" t="s">
        <v>1304</v>
      </c>
    </row>
    <row r="588" spans="1:30" x14ac:dyDescent="0.25">
      <c r="A588">
        <v>291</v>
      </c>
      <c r="B588">
        <v>176</v>
      </c>
      <c r="C588" t="s">
        <v>1305</v>
      </c>
      <c r="D588" t="s">
        <v>59</v>
      </c>
      <c r="E588" t="s">
        <v>42</v>
      </c>
      <c r="F588" t="s">
        <v>1306</v>
      </c>
      <c r="G588" t="str">
        <f>"00294377"</f>
        <v>00294377</v>
      </c>
      <c r="H588" t="s">
        <v>160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30</v>
      </c>
      <c r="O588">
        <v>0</v>
      </c>
      <c r="P588">
        <v>50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1307</v>
      </c>
    </row>
    <row r="589" spans="1:30" x14ac:dyDescent="0.25">
      <c r="H589">
        <v>1079</v>
      </c>
    </row>
    <row r="590" spans="1:30" x14ac:dyDescent="0.25">
      <c r="A590">
        <v>292</v>
      </c>
      <c r="B590">
        <v>1971</v>
      </c>
      <c r="C590" t="s">
        <v>1308</v>
      </c>
      <c r="D590" t="s">
        <v>66</v>
      </c>
      <c r="E590" t="s">
        <v>77</v>
      </c>
      <c r="F590" t="s">
        <v>1309</v>
      </c>
      <c r="G590" t="str">
        <f>"00324448"</f>
        <v>00324448</v>
      </c>
      <c r="H590" t="s">
        <v>190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60</v>
      </c>
      <c r="W590">
        <v>420</v>
      </c>
      <c r="X590">
        <v>0</v>
      </c>
      <c r="Z590">
        <v>0</v>
      </c>
      <c r="AA590">
        <v>0</v>
      </c>
      <c r="AB590">
        <v>24</v>
      </c>
      <c r="AC590">
        <v>408</v>
      </c>
      <c r="AD590" t="s">
        <v>1310</v>
      </c>
    </row>
    <row r="591" spans="1:30" x14ac:dyDescent="0.25">
      <c r="H591" t="s">
        <v>1311</v>
      </c>
    </row>
    <row r="592" spans="1:30" x14ac:dyDescent="0.25">
      <c r="A592">
        <v>293</v>
      </c>
      <c r="B592">
        <v>750</v>
      </c>
      <c r="C592" t="s">
        <v>1312</v>
      </c>
      <c r="D592" t="s">
        <v>664</v>
      </c>
      <c r="E592" t="s">
        <v>148</v>
      </c>
      <c r="F592" t="s">
        <v>1313</v>
      </c>
      <c r="G592" t="str">
        <f>"00020677"</f>
        <v>00020677</v>
      </c>
      <c r="H592" t="s">
        <v>1164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70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60</v>
      </c>
      <c r="W592">
        <v>420</v>
      </c>
      <c r="X592">
        <v>0</v>
      </c>
      <c r="Z592">
        <v>0</v>
      </c>
      <c r="AA592">
        <v>0</v>
      </c>
      <c r="AB592">
        <v>24</v>
      </c>
      <c r="AC592">
        <v>408</v>
      </c>
      <c r="AD592" t="s">
        <v>1314</v>
      </c>
    </row>
    <row r="593" spans="1:30" x14ac:dyDescent="0.25">
      <c r="H593" t="s">
        <v>1315</v>
      </c>
    </row>
    <row r="594" spans="1:30" x14ac:dyDescent="0.25">
      <c r="A594">
        <v>294</v>
      </c>
      <c r="B594">
        <v>2032</v>
      </c>
      <c r="C594" t="s">
        <v>1316</v>
      </c>
      <c r="D594" t="s">
        <v>1317</v>
      </c>
      <c r="E594" t="s">
        <v>731</v>
      </c>
      <c r="F594" t="s">
        <v>1318</v>
      </c>
      <c r="G594" t="str">
        <f>"00332566"</f>
        <v>00332566</v>
      </c>
      <c r="H594">
        <v>803</v>
      </c>
      <c r="I594">
        <v>0</v>
      </c>
      <c r="J594">
        <v>0</v>
      </c>
      <c r="K594">
        <v>0</v>
      </c>
      <c r="L594">
        <v>200</v>
      </c>
      <c r="M594">
        <v>0</v>
      </c>
      <c r="N594">
        <v>70</v>
      </c>
      <c r="O594">
        <v>0</v>
      </c>
      <c r="P594">
        <v>30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>
        <v>0</v>
      </c>
      <c r="AB594">
        <v>0</v>
      </c>
      <c r="AC594">
        <v>0</v>
      </c>
      <c r="AD594">
        <v>1691</v>
      </c>
    </row>
    <row r="595" spans="1:30" x14ac:dyDescent="0.25">
      <c r="H595">
        <v>1072</v>
      </c>
    </row>
    <row r="596" spans="1:30" x14ac:dyDescent="0.25">
      <c r="A596">
        <v>295</v>
      </c>
      <c r="B596">
        <v>5255</v>
      </c>
      <c r="C596" t="s">
        <v>1319</v>
      </c>
      <c r="D596" t="s">
        <v>174</v>
      </c>
      <c r="E596" t="s">
        <v>77</v>
      </c>
      <c r="F596" t="s">
        <v>1320</v>
      </c>
      <c r="G596" t="str">
        <f>"00370906"</f>
        <v>00370906</v>
      </c>
      <c r="H596" t="s">
        <v>386</v>
      </c>
      <c r="I596">
        <v>0</v>
      </c>
      <c r="J596">
        <v>0</v>
      </c>
      <c r="K596">
        <v>0</v>
      </c>
      <c r="L596">
        <v>200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1321</v>
      </c>
    </row>
    <row r="597" spans="1:30" x14ac:dyDescent="0.25">
      <c r="H597">
        <v>1087</v>
      </c>
    </row>
    <row r="598" spans="1:30" x14ac:dyDescent="0.25">
      <c r="A598">
        <v>296</v>
      </c>
      <c r="B598">
        <v>361</v>
      </c>
      <c r="C598" t="s">
        <v>1322</v>
      </c>
      <c r="D598" t="s">
        <v>148</v>
      </c>
      <c r="E598" t="s">
        <v>28</v>
      </c>
      <c r="F598" t="s">
        <v>1323</v>
      </c>
      <c r="G598" t="str">
        <f>"201412003112"</f>
        <v>201412003112</v>
      </c>
      <c r="H598" t="s">
        <v>1116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1324</v>
      </c>
    </row>
    <row r="599" spans="1:30" x14ac:dyDescent="0.25">
      <c r="H599" t="s">
        <v>1325</v>
      </c>
    </row>
    <row r="600" spans="1:30" x14ac:dyDescent="0.25">
      <c r="A600">
        <v>297</v>
      </c>
      <c r="B600">
        <v>4533</v>
      </c>
      <c r="C600" t="s">
        <v>1326</v>
      </c>
      <c r="D600" t="s">
        <v>1327</v>
      </c>
      <c r="E600" t="s">
        <v>408</v>
      </c>
      <c r="F600" t="s">
        <v>1328</v>
      </c>
      <c r="G600" t="str">
        <f>"201504000767"</f>
        <v>201504000767</v>
      </c>
      <c r="H600" t="s">
        <v>329</v>
      </c>
      <c r="I600">
        <v>0</v>
      </c>
      <c r="J600">
        <v>0</v>
      </c>
      <c r="K600">
        <v>0</v>
      </c>
      <c r="L600">
        <v>200</v>
      </c>
      <c r="M600">
        <v>0</v>
      </c>
      <c r="N600">
        <v>70</v>
      </c>
      <c r="O600">
        <v>0</v>
      </c>
      <c r="P600">
        <v>0</v>
      </c>
      <c r="Q600">
        <v>30</v>
      </c>
      <c r="R600">
        <v>30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1329</v>
      </c>
    </row>
    <row r="601" spans="1:30" x14ac:dyDescent="0.25">
      <c r="H601" t="s">
        <v>1330</v>
      </c>
    </row>
    <row r="602" spans="1:30" x14ac:dyDescent="0.25">
      <c r="A602">
        <v>298</v>
      </c>
      <c r="B602">
        <v>713</v>
      </c>
      <c r="C602" t="s">
        <v>1331</v>
      </c>
      <c r="D602" t="s">
        <v>77</v>
      </c>
      <c r="E602" t="s">
        <v>148</v>
      </c>
      <c r="F602" t="s">
        <v>1332</v>
      </c>
      <c r="G602" t="str">
        <f>"00308783"</f>
        <v>00308783</v>
      </c>
      <c r="H602" t="s">
        <v>723</v>
      </c>
      <c r="I602">
        <v>0</v>
      </c>
      <c r="J602">
        <v>0</v>
      </c>
      <c r="K602">
        <v>0</v>
      </c>
      <c r="L602">
        <v>200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70</v>
      </c>
      <c r="W602">
        <v>490</v>
      </c>
      <c r="X602">
        <v>0</v>
      </c>
      <c r="Z602">
        <v>0</v>
      </c>
      <c r="AA602">
        <v>0</v>
      </c>
      <c r="AB602">
        <v>14</v>
      </c>
      <c r="AC602">
        <v>238</v>
      </c>
      <c r="AD602" t="s">
        <v>1333</v>
      </c>
    </row>
    <row r="603" spans="1:30" x14ac:dyDescent="0.25">
      <c r="H603" t="s">
        <v>1334</v>
      </c>
    </row>
    <row r="604" spans="1:30" x14ac:dyDescent="0.25">
      <c r="A604">
        <v>299</v>
      </c>
      <c r="B604">
        <v>1588</v>
      </c>
      <c r="C604" t="s">
        <v>434</v>
      </c>
      <c r="D604" t="s">
        <v>293</v>
      </c>
      <c r="E604" t="s">
        <v>435</v>
      </c>
      <c r="F604" t="s">
        <v>436</v>
      </c>
      <c r="G604" t="str">
        <f>"00269573"</f>
        <v>00269573</v>
      </c>
      <c r="H604">
        <v>781</v>
      </c>
      <c r="I604">
        <v>0</v>
      </c>
      <c r="J604">
        <v>0</v>
      </c>
      <c r="K604">
        <v>0</v>
      </c>
      <c r="L604">
        <v>200</v>
      </c>
      <c r="M604">
        <v>0</v>
      </c>
      <c r="N604">
        <v>70</v>
      </c>
      <c r="O604">
        <v>50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84</v>
      </c>
      <c r="W604">
        <v>588</v>
      </c>
      <c r="X604">
        <v>0</v>
      </c>
      <c r="Z604">
        <v>0</v>
      </c>
      <c r="AA604">
        <v>0</v>
      </c>
      <c r="AB604">
        <v>0</v>
      </c>
      <c r="AC604">
        <v>0</v>
      </c>
      <c r="AD604">
        <v>1689</v>
      </c>
    </row>
    <row r="605" spans="1:30" x14ac:dyDescent="0.25">
      <c r="H605" t="s">
        <v>437</v>
      </c>
    </row>
    <row r="606" spans="1:30" x14ac:dyDescent="0.25">
      <c r="A606">
        <v>300</v>
      </c>
      <c r="B606">
        <v>5055</v>
      </c>
      <c r="C606" t="s">
        <v>1335</v>
      </c>
      <c r="D606" t="s">
        <v>1336</v>
      </c>
      <c r="E606" t="s">
        <v>203</v>
      </c>
      <c r="F606" t="s">
        <v>1337</v>
      </c>
      <c r="G606" t="str">
        <f>"201402010172"</f>
        <v>201402010172</v>
      </c>
      <c r="H606" t="s">
        <v>1338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1339</v>
      </c>
    </row>
    <row r="607" spans="1:30" x14ac:dyDescent="0.25">
      <c r="H607" t="s">
        <v>1340</v>
      </c>
    </row>
    <row r="608" spans="1:30" x14ac:dyDescent="0.25">
      <c r="A608">
        <v>301</v>
      </c>
      <c r="B608">
        <v>8</v>
      </c>
      <c r="C608" t="s">
        <v>898</v>
      </c>
      <c r="D608" t="s">
        <v>1341</v>
      </c>
      <c r="E608" t="s">
        <v>42</v>
      </c>
      <c r="F608" t="s">
        <v>1342</v>
      </c>
      <c r="G608" t="str">
        <f>"201412006190"</f>
        <v>201412006190</v>
      </c>
      <c r="H608">
        <v>770</v>
      </c>
      <c r="I608">
        <v>0</v>
      </c>
      <c r="J608">
        <v>0</v>
      </c>
      <c r="K608">
        <v>0</v>
      </c>
      <c r="L608">
        <v>260</v>
      </c>
      <c r="M608">
        <v>0</v>
      </c>
      <c r="N608">
        <v>70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X608">
        <v>0</v>
      </c>
      <c r="Z608">
        <v>0</v>
      </c>
      <c r="AA608">
        <v>0</v>
      </c>
      <c r="AB608">
        <v>0</v>
      </c>
      <c r="AC608">
        <v>0</v>
      </c>
      <c r="AD608">
        <v>1688</v>
      </c>
    </row>
    <row r="609" spans="1:30" x14ac:dyDescent="0.25">
      <c r="H609" t="s">
        <v>1343</v>
      </c>
    </row>
    <row r="610" spans="1:30" x14ac:dyDescent="0.25">
      <c r="A610">
        <v>302</v>
      </c>
      <c r="B610">
        <v>3437</v>
      </c>
      <c r="C610" t="s">
        <v>442</v>
      </c>
      <c r="D610" t="s">
        <v>373</v>
      </c>
      <c r="E610" t="s">
        <v>443</v>
      </c>
      <c r="F610" t="s">
        <v>444</v>
      </c>
      <c r="G610" t="str">
        <f>"00028759"</f>
        <v>00028759</v>
      </c>
      <c r="H610" t="s">
        <v>74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70</v>
      </c>
      <c r="O610">
        <v>0</v>
      </c>
      <c r="P610">
        <v>50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1344</v>
      </c>
    </row>
    <row r="611" spans="1:30" x14ac:dyDescent="0.25">
      <c r="H611" t="s">
        <v>446</v>
      </c>
    </row>
    <row r="612" spans="1:30" x14ac:dyDescent="0.25">
      <c r="A612">
        <v>303</v>
      </c>
      <c r="B612">
        <v>3727</v>
      </c>
      <c r="C612" t="s">
        <v>1345</v>
      </c>
      <c r="D612" t="s">
        <v>14</v>
      </c>
      <c r="E612" t="s">
        <v>576</v>
      </c>
      <c r="F612" t="s">
        <v>1346</v>
      </c>
      <c r="G612" t="str">
        <f>"00367801"</f>
        <v>00367801</v>
      </c>
      <c r="H612">
        <v>869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84</v>
      </c>
      <c r="W612">
        <v>588</v>
      </c>
      <c r="X612">
        <v>0</v>
      </c>
      <c r="Z612">
        <v>0</v>
      </c>
      <c r="AA612">
        <v>0</v>
      </c>
      <c r="AB612">
        <v>0</v>
      </c>
      <c r="AC612">
        <v>0</v>
      </c>
      <c r="AD612">
        <v>1687</v>
      </c>
    </row>
    <row r="613" spans="1:30" x14ac:dyDescent="0.25">
      <c r="H613" t="s">
        <v>1273</v>
      </c>
    </row>
    <row r="614" spans="1:30" x14ac:dyDescent="0.25">
      <c r="A614">
        <v>304</v>
      </c>
      <c r="B614">
        <v>2898</v>
      </c>
      <c r="C614" t="s">
        <v>1347</v>
      </c>
      <c r="D614" t="s">
        <v>66</v>
      </c>
      <c r="E614" t="s">
        <v>42</v>
      </c>
      <c r="F614" t="s">
        <v>1348</v>
      </c>
      <c r="G614" t="str">
        <f>"00215690"</f>
        <v>00215690</v>
      </c>
      <c r="H614" t="s">
        <v>359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70</v>
      </c>
      <c r="O614">
        <v>0</v>
      </c>
      <c r="P614">
        <v>50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84</v>
      </c>
      <c r="W614">
        <v>588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1349</v>
      </c>
    </row>
    <row r="615" spans="1:30" x14ac:dyDescent="0.25">
      <c r="H615" t="s">
        <v>1350</v>
      </c>
    </row>
    <row r="616" spans="1:30" x14ac:dyDescent="0.25">
      <c r="A616">
        <v>305</v>
      </c>
      <c r="B616">
        <v>3289</v>
      </c>
      <c r="C616" t="s">
        <v>1351</v>
      </c>
      <c r="D616" t="s">
        <v>1263</v>
      </c>
      <c r="E616" t="s">
        <v>42</v>
      </c>
      <c r="F616" t="s">
        <v>1352</v>
      </c>
      <c r="G616" t="str">
        <f>"00167590"</f>
        <v>00167590</v>
      </c>
      <c r="H616" t="s">
        <v>61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70</v>
      </c>
      <c r="O616">
        <v>30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81</v>
      </c>
      <c r="W616">
        <v>567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1353</v>
      </c>
    </row>
    <row r="617" spans="1:30" x14ac:dyDescent="0.25">
      <c r="H617" t="s">
        <v>1354</v>
      </c>
    </row>
    <row r="618" spans="1:30" x14ac:dyDescent="0.25">
      <c r="A618">
        <v>306</v>
      </c>
      <c r="B618">
        <v>5366</v>
      </c>
      <c r="C618" t="s">
        <v>1355</v>
      </c>
      <c r="D618" t="s">
        <v>66</v>
      </c>
      <c r="E618" t="s">
        <v>135</v>
      </c>
      <c r="F618" t="s">
        <v>1356</v>
      </c>
      <c r="G618" t="str">
        <f>"201402011865"</f>
        <v>201402011865</v>
      </c>
      <c r="H618" t="s">
        <v>166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70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84</v>
      </c>
      <c r="W618">
        <v>588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1357</v>
      </c>
    </row>
    <row r="619" spans="1:30" x14ac:dyDescent="0.25">
      <c r="H619" t="s">
        <v>1358</v>
      </c>
    </row>
    <row r="620" spans="1:30" x14ac:dyDescent="0.25">
      <c r="A620">
        <v>307</v>
      </c>
      <c r="B620">
        <v>1912</v>
      </c>
      <c r="C620" t="s">
        <v>1359</v>
      </c>
      <c r="D620" t="s">
        <v>1360</v>
      </c>
      <c r="E620" t="s">
        <v>1361</v>
      </c>
      <c r="F620" t="s">
        <v>1362</v>
      </c>
      <c r="G620" t="str">
        <f>"00032652"</f>
        <v>00032652</v>
      </c>
      <c r="H620" t="s">
        <v>166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60</v>
      </c>
      <c r="W620">
        <v>420</v>
      </c>
      <c r="X620">
        <v>0</v>
      </c>
      <c r="Z620">
        <v>0</v>
      </c>
      <c r="AA620">
        <v>0</v>
      </c>
      <c r="AB620">
        <v>24</v>
      </c>
      <c r="AC620">
        <v>408</v>
      </c>
      <c r="AD620" t="s">
        <v>1357</v>
      </c>
    </row>
    <row r="621" spans="1:30" x14ac:dyDescent="0.25">
      <c r="H621" t="s">
        <v>1363</v>
      </c>
    </row>
    <row r="622" spans="1:30" x14ac:dyDescent="0.25">
      <c r="A622">
        <v>308</v>
      </c>
      <c r="B622">
        <v>4934</v>
      </c>
      <c r="C622" t="s">
        <v>1364</v>
      </c>
      <c r="D622" t="s">
        <v>135</v>
      </c>
      <c r="E622" t="s">
        <v>42</v>
      </c>
      <c r="F622" t="s">
        <v>1365</v>
      </c>
      <c r="G622" t="str">
        <f>"200809000337"</f>
        <v>200809000337</v>
      </c>
      <c r="H622" t="s">
        <v>205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84</v>
      </c>
      <c r="W622">
        <v>588</v>
      </c>
      <c r="X622">
        <v>6</v>
      </c>
      <c r="Y622">
        <v>1084</v>
      </c>
      <c r="Z622">
        <v>0</v>
      </c>
      <c r="AA622">
        <v>0</v>
      </c>
      <c r="AB622">
        <v>0</v>
      </c>
      <c r="AC622">
        <v>0</v>
      </c>
      <c r="AD622" t="s">
        <v>1366</v>
      </c>
    </row>
    <row r="623" spans="1:30" x14ac:dyDescent="0.25">
      <c r="H623">
        <v>1084</v>
      </c>
    </row>
    <row r="624" spans="1:30" x14ac:dyDescent="0.25">
      <c r="A624">
        <v>309</v>
      </c>
      <c r="B624">
        <v>511</v>
      </c>
      <c r="C624" t="s">
        <v>1367</v>
      </c>
      <c r="D624" t="s">
        <v>1368</v>
      </c>
      <c r="E624" t="s">
        <v>103</v>
      </c>
      <c r="F624" t="s">
        <v>1369</v>
      </c>
      <c r="G624" t="str">
        <f>"201402008115"</f>
        <v>201402008115</v>
      </c>
      <c r="H624" t="s">
        <v>1370</v>
      </c>
      <c r="I624">
        <v>0</v>
      </c>
      <c r="J624">
        <v>0</v>
      </c>
      <c r="K624">
        <v>0</v>
      </c>
      <c r="L624">
        <v>260</v>
      </c>
      <c r="M624">
        <v>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1371</v>
      </c>
    </row>
    <row r="625" spans="1:30" x14ac:dyDescent="0.25">
      <c r="H625" t="s">
        <v>1372</v>
      </c>
    </row>
    <row r="626" spans="1:30" x14ac:dyDescent="0.25">
      <c r="A626">
        <v>310</v>
      </c>
      <c r="B626">
        <v>2191</v>
      </c>
      <c r="C626" t="s">
        <v>1185</v>
      </c>
      <c r="D626" t="s">
        <v>89</v>
      </c>
      <c r="E626" t="s">
        <v>77</v>
      </c>
      <c r="F626" t="s">
        <v>1186</v>
      </c>
      <c r="G626" t="str">
        <f>"00018203"</f>
        <v>00018203</v>
      </c>
      <c r="H626" t="s">
        <v>184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70</v>
      </c>
      <c r="O626">
        <v>30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84</v>
      </c>
      <c r="W626">
        <v>588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1373</v>
      </c>
    </row>
    <row r="627" spans="1:30" x14ac:dyDescent="0.25">
      <c r="H627" t="s">
        <v>1188</v>
      </c>
    </row>
    <row r="628" spans="1:30" x14ac:dyDescent="0.25">
      <c r="A628">
        <v>311</v>
      </c>
      <c r="B628">
        <v>2043</v>
      </c>
      <c r="C628" t="s">
        <v>1374</v>
      </c>
      <c r="D628" t="s">
        <v>135</v>
      </c>
      <c r="E628" t="s">
        <v>203</v>
      </c>
      <c r="F628" t="s">
        <v>1375</v>
      </c>
      <c r="G628" t="str">
        <f>"00243086"</f>
        <v>00243086</v>
      </c>
      <c r="H628" t="s">
        <v>1376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84</v>
      </c>
      <c r="W628">
        <v>588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1377</v>
      </c>
    </row>
    <row r="629" spans="1:30" x14ac:dyDescent="0.25">
      <c r="H629" t="s">
        <v>1378</v>
      </c>
    </row>
    <row r="630" spans="1:30" x14ac:dyDescent="0.25">
      <c r="A630">
        <v>312</v>
      </c>
      <c r="B630">
        <v>4865</v>
      </c>
      <c r="C630" t="s">
        <v>1379</v>
      </c>
      <c r="D630" t="s">
        <v>1380</v>
      </c>
      <c r="E630" t="s">
        <v>225</v>
      </c>
      <c r="F630" t="s">
        <v>1381</v>
      </c>
      <c r="G630" t="str">
        <f>"00362534"</f>
        <v>00362534</v>
      </c>
      <c r="H630" t="s">
        <v>1382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84</v>
      </c>
      <c r="W630">
        <v>588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1383</v>
      </c>
    </row>
    <row r="631" spans="1:30" x14ac:dyDescent="0.25">
      <c r="H631" t="s">
        <v>1384</v>
      </c>
    </row>
    <row r="632" spans="1:30" x14ac:dyDescent="0.25">
      <c r="A632">
        <v>313</v>
      </c>
      <c r="B632">
        <v>864</v>
      </c>
      <c r="C632" t="s">
        <v>1385</v>
      </c>
      <c r="D632" t="s">
        <v>1289</v>
      </c>
      <c r="E632" t="s">
        <v>435</v>
      </c>
      <c r="F632" t="s">
        <v>1386</v>
      </c>
      <c r="G632" t="str">
        <f>"201411000330"</f>
        <v>201411000330</v>
      </c>
      <c r="H632" t="s">
        <v>425</v>
      </c>
      <c r="I632">
        <v>0</v>
      </c>
      <c r="J632">
        <v>0</v>
      </c>
      <c r="K632">
        <v>0</v>
      </c>
      <c r="L632">
        <v>200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50</v>
      </c>
      <c r="T632">
        <v>0</v>
      </c>
      <c r="U632">
        <v>0</v>
      </c>
      <c r="V632">
        <v>84</v>
      </c>
      <c r="W632">
        <v>588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1387</v>
      </c>
    </row>
    <row r="633" spans="1:30" x14ac:dyDescent="0.25">
      <c r="H633" t="s">
        <v>46</v>
      </c>
    </row>
    <row r="634" spans="1:30" x14ac:dyDescent="0.25">
      <c r="A634">
        <v>314</v>
      </c>
      <c r="B634">
        <v>2529</v>
      </c>
      <c r="C634" t="s">
        <v>1388</v>
      </c>
      <c r="D634" t="s">
        <v>119</v>
      </c>
      <c r="E634" t="s">
        <v>148</v>
      </c>
      <c r="F634" t="s">
        <v>1389</v>
      </c>
      <c r="G634" t="str">
        <f>"00016821"</f>
        <v>00016821</v>
      </c>
      <c r="H634" t="s">
        <v>1390</v>
      </c>
      <c r="I634">
        <v>0</v>
      </c>
      <c r="J634">
        <v>0</v>
      </c>
      <c r="K634">
        <v>0</v>
      </c>
      <c r="L634">
        <v>200</v>
      </c>
      <c r="M634">
        <v>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1391</v>
      </c>
    </row>
    <row r="635" spans="1:30" x14ac:dyDescent="0.25">
      <c r="H635" t="s">
        <v>1392</v>
      </c>
    </row>
    <row r="636" spans="1:30" x14ac:dyDescent="0.25">
      <c r="A636">
        <v>315</v>
      </c>
      <c r="B636">
        <v>2430</v>
      </c>
      <c r="C636" t="s">
        <v>1393</v>
      </c>
      <c r="D636" t="s">
        <v>702</v>
      </c>
      <c r="E636" t="s">
        <v>28</v>
      </c>
      <c r="F636" t="s">
        <v>1394</v>
      </c>
      <c r="G636" t="str">
        <f>"201504002441"</f>
        <v>201504002441</v>
      </c>
      <c r="H636" t="s">
        <v>1390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1391</v>
      </c>
    </row>
    <row r="637" spans="1:30" x14ac:dyDescent="0.25">
      <c r="H637" t="s">
        <v>1395</v>
      </c>
    </row>
    <row r="638" spans="1:30" x14ac:dyDescent="0.25">
      <c r="A638">
        <v>316</v>
      </c>
      <c r="B638">
        <v>4905</v>
      </c>
      <c r="C638" t="s">
        <v>1396</v>
      </c>
      <c r="D638" t="s">
        <v>593</v>
      </c>
      <c r="E638" t="s">
        <v>59</v>
      </c>
      <c r="F638" t="s">
        <v>1397</v>
      </c>
      <c r="G638" t="str">
        <f>"00347730"</f>
        <v>00347730</v>
      </c>
      <c r="H638" t="s">
        <v>1398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70</v>
      </c>
      <c r="O638">
        <v>30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72</v>
      </c>
      <c r="W638">
        <v>504</v>
      </c>
      <c r="X638">
        <v>0</v>
      </c>
      <c r="Z638">
        <v>0</v>
      </c>
      <c r="AA638">
        <v>0</v>
      </c>
      <c r="AB638">
        <v>0</v>
      </c>
      <c r="AC638">
        <v>0</v>
      </c>
      <c r="AD638" t="s">
        <v>1399</v>
      </c>
    </row>
    <row r="639" spans="1:30" x14ac:dyDescent="0.25">
      <c r="H639">
        <v>1089</v>
      </c>
    </row>
    <row r="640" spans="1:30" x14ac:dyDescent="0.25">
      <c r="A640">
        <v>317</v>
      </c>
      <c r="B640">
        <v>3913</v>
      </c>
      <c r="C640" t="s">
        <v>1400</v>
      </c>
      <c r="D640" t="s">
        <v>333</v>
      </c>
      <c r="E640" t="s">
        <v>35</v>
      </c>
      <c r="F640" t="s">
        <v>1401</v>
      </c>
      <c r="G640" t="str">
        <f>"00003720"</f>
        <v>00003720</v>
      </c>
      <c r="H640" t="s">
        <v>992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70</v>
      </c>
      <c r="O640">
        <v>30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76</v>
      </c>
      <c r="W640">
        <v>532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1402</v>
      </c>
    </row>
    <row r="641" spans="1:30" x14ac:dyDescent="0.25">
      <c r="H641" t="s">
        <v>1403</v>
      </c>
    </row>
    <row r="642" spans="1:30" x14ac:dyDescent="0.25">
      <c r="A642">
        <v>318</v>
      </c>
      <c r="B642">
        <v>3913</v>
      </c>
      <c r="C642" t="s">
        <v>1400</v>
      </c>
      <c r="D642" t="s">
        <v>333</v>
      </c>
      <c r="E642" t="s">
        <v>35</v>
      </c>
      <c r="F642" t="s">
        <v>1401</v>
      </c>
      <c r="G642" t="str">
        <f>"00003720"</f>
        <v>00003720</v>
      </c>
      <c r="H642" t="s">
        <v>992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70</v>
      </c>
      <c r="O642">
        <v>30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76</v>
      </c>
      <c r="W642">
        <v>532</v>
      </c>
      <c r="X642">
        <v>6</v>
      </c>
      <c r="Y642">
        <v>1080</v>
      </c>
      <c r="Z642">
        <v>0</v>
      </c>
      <c r="AA642">
        <v>0</v>
      </c>
      <c r="AB642">
        <v>0</v>
      </c>
      <c r="AC642">
        <v>0</v>
      </c>
      <c r="AD642" t="s">
        <v>1402</v>
      </c>
    </row>
    <row r="643" spans="1:30" x14ac:dyDescent="0.25">
      <c r="H643" t="s">
        <v>1403</v>
      </c>
    </row>
    <row r="644" spans="1:30" x14ac:dyDescent="0.25">
      <c r="A644">
        <v>319</v>
      </c>
      <c r="B644">
        <v>4511</v>
      </c>
      <c r="C644" t="s">
        <v>1404</v>
      </c>
      <c r="D644" t="s">
        <v>1405</v>
      </c>
      <c r="E644" t="s">
        <v>1406</v>
      </c>
      <c r="F644" t="s">
        <v>1407</v>
      </c>
      <c r="G644" t="str">
        <f>"00022974"</f>
        <v>00022974</v>
      </c>
      <c r="H644">
        <v>682</v>
      </c>
      <c r="I644">
        <v>0</v>
      </c>
      <c r="J644">
        <v>0</v>
      </c>
      <c r="K644">
        <v>0</v>
      </c>
      <c r="L644">
        <v>200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66</v>
      </c>
      <c r="W644">
        <v>462</v>
      </c>
      <c r="X644">
        <v>0</v>
      </c>
      <c r="Z644">
        <v>0</v>
      </c>
      <c r="AA644">
        <v>0</v>
      </c>
      <c r="AB644">
        <v>18</v>
      </c>
      <c r="AC644">
        <v>306</v>
      </c>
      <c r="AD644">
        <v>1680</v>
      </c>
    </row>
    <row r="645" spans="1:30" x14ac:dyDescent="0.25">
      <c r="H645" t="s">
        <v>1408</v>
      </c>
    </row>
    <row r="646" spans="1:30" x14ac:dyDescent="0.25">
      <c r="A646">
        <v>320</v>
      </c>
      <c r="B646">
        <v>879</v>
      </c>
      <c r="C646" t="s">
        <v>1409</v>
      </c>
      <c r="D646" t="s">
        <v>556</v>
      </c>
      <c r="E646" t="s">
        <v>203</v>
      </c>
      <c r="F646" t="s">
        <v>1410</v>
      </c>
      <c r="G646" t="str">
        <f>"00024885"</f>
        <v>00024885</v>
      </c>
      <c r="H646" t="s">
        <v>425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70</v>
      </c>
      <c r="O646">
        <v>30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81</v>
      </c>
      <c r="W646">
        <v>567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1411</v>
      </c>
    </row>
    <row r="647" spans="1:30" x14ac:dyDescent="0.25">
      <c r="H647" t="s">
        <v>1412</v>
      </c>
    </row>
    <row r="648" spans="1:30" x14ac:dyDescent="0.25">
      <c r="A648">
        <v>321</v>
      </c>
      <c r="B648">
        <v>648</v>
      </c>
      <c r="C648" t="s">
        <v>1413</v>
      </c>
      <c r="D648" t="s">
        <v>77</v>
      </c>
      <c r="E648" t="s">
        <v>731</v>
      </c>
      <c r="F648" t="s">
        <v>1414</v>
      </c>
      <c r="G648" t="str">
        <f>"201504000875"</f>
        <v>201504000875</v>
      </c>
      <c r="H648" t="s">
        <v>651</v>
      </c>
      <c r="I648">
        <v>150</v>
      </c>
      <c r="J648">
        <v>0</v>
      </c>
      <c r="K648">
        <v>0</v>
      </c>
      <c r="L648">
        <v>200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70</v>
      </c>
      <c r="W648">
        <v>490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1415</v>
      </c>
    </row>
    <row r="649" spans="1:30" x14ac:dyDescent="0.25">
      <c r="H649" t="s">
        <v>1416</v>
      </c>
    </row>
    <row r="650" spans="1:30" x14ac:dyDescent="0.25">
      <c r="A650">
        <v>322</v>
      </c>
      <c r="B650">
        <v>2393</v>
      </c>
      <c r="C650" t="s">
        <v>1417</v>
      </c>
      <c r="D650" t="s">
        <v>14</v>
      </c>
      <c r="E650" t="s">
        <v>35</v>
      </c>
      <c r="F650" t="s">
        <v>1418</v>
      </c>
      <c r="G650" t="str">
        <f>"00143598"</f>
        <v>00143598</v>
      </c>
      <c r="H650" t="s">
        <v>344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84</v>
      </c>
      <c r="W650">
        <v>588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1419</v>
      </c>
    </row>
    <row r="651" spans="1:30" x14ac:dyDescent="0.25">
      <c r="H651" t="s">
        <v>1420</v>
      </c>
    </row>
    <row r="652" spans="1:30" x14ac:dyDescent="0.25">
      <c r="A652">
        <v>323</v>
      </c>
      <c r="B652">
        <v>726</v>
      </c>
      <c r="C652" t="s">
        <v>1421</v>
      </c>
      <c r="D652" t="s">
        <v>1198</v>
      </c>
      <c r="E652" t="s">
        <v>702</v>
      </c>
      <c r="F652" t="s">
        <v>1422</v>
      </c>
      <c r="G652" t="str">
        <f>"201504003136"</f>
        <v>201504003136</v>
      </c>
      <c r="H652" t="s">
        <v>1338</v>
      </c>
      <c r="I652">
        <v>0</v>
      </c>
      <c r="J652">
        <v>0</v>
      </c>
      <c r="K652">
        <v>0</v>
      </c>
      <c r="L652">
        <v>200</v>
      </c>
      <c r="M652">
        <v>30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1423</v>
      </c>
    </row>
    <row r="653" spans="1:30" x14ac:dyDescent="0.25">
      <c r="H653" t="s">
        <v>729</v>
      </c>
    </row>
    <row r="654" spans="1:30" x14ac:dyDescent="0.25">
      <c r="A654">
        <v>324</v>
      </c>
      <c r="B654">
        <v>970</v>
      </c>
      <c r="C654" t="s">
        <v>1424</v>
      </c>
      <c r="D654" t="s">
        <v>333</v>
      </c>
      <c r="E654" t="s">
        <v>135</v>
      </c>
      <c r="F654" t="s">
        <v>1425</v>
      </c>
      <c r="G654" t="str">
        <f>"201410000795"</f>
        <v>201410000795</v>
      </c>
      <c r="H654">
        <v>770</v>
      </c>
      <c r="I654">
        <v>0</v>
      </c>
      <c r="J654">
        <v>0</v>
      </c>
      <c r="K654">
        <v>0</v>
      </c>
      <c r="L654">
        <v>200</v>
      </c>
      <c r="M654">
        <v>0</v>
      </c>
      <c r="N654">
        <v>70</v>
      </c>
      <c r="O654">
        <v>0</v>
      </c>
      <c r="P654">
        <v>0</v>
      </c>
      <c r="Q654">
        <v>50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0</v>
      </c>
      <c r="AB654">
        <v>0</v>
      </c>
      <c r="AC654">
        <v>0</v>
      </c>
      <c r="AD654">
        <v>1678</v>
      </c>
    </row>
    <row r="655" spans="1:30" x14ac:dyDescent="0.25">
      <c r="H655" t="s">
        <v>1426</v>
      </c>
    </row>
    <row r="656" spans="1:30" x14ac:dyDescent="0.25">
      <c r="A656">
        <v>325</v>
      </c>
      <c r="B656">
        <v>4179</v>
      </c>
      <c r="C656" t="s">
        <v>1427</v>
      </c>
      <c r="D656" t="s">
        <v>1428</v>
      </c>
      <c r="E656" t="s">
        <v>203</v>
      </c>
      <c r="F656" t="s">
        <v>1429</v>
      </c>
      <c r="G656" t="str">
        <f>"00108764"</f>
        <v>00108764</v>
      </c>
      <c r="H656">
        <v>660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64</v>
      </c>
      <c r="W656">
        <v>448</v>
      </c>
      <c r="X656">
        <v>0</v>
      </c>
      <c r="Z656">
        <v>0</v>
      </c>
      <c r="AA656">
        <v>0</v>
      </c>
      <c r="AB656">
        <v>20</v>
      </c>
      <c r="AC656">
        <v>340</v>
      </c>
      <c r="AD656">
        <v>1678</v>
      </c>
    </row>
    <row r="657" spans="1:30" x14ac:dyDescent="0.25">
      <c r="H657" t="s">
        <v>1430</v>
      </c>
    </row>
    <row r="658" spans="1:30" x14ac:dyDescent="0.25">
      <c r="A658">
        <v>326</v>
      </c>
      <c r="B658">
        <v>5042</v>
      </c>
      <c r="C658" t="s">
        <v>1431</v>
      </c>
      <c r="D658" t="s">
        <v>1380</v>
      </c>
      <c r="E658" t="s">
        <v>42</v>
      </c>
      <c r="F658" t="s">
        <v>1432</v>
      </c>
      <c r="G658" t="str">
        <f>"200802007624"</f>
        <v>200802007624</v>
      </c>
      <c r="H658" t="s">
        <v>61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84</v>
      </c>
      <c r="W658">
        <v>588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1433</v>
      </c>
    </row>
    <row r="659" spans="1:30" x14ac:dyDescent="0.25">
      <c r="H659" t="s">
        <v>1434</v>
      </c>
    </row>
    <row r="660" spans="1:30" x14ac:dyDescent="0.25">
      <c r="A660">
        <v>327</v>
      </c>
      <c r="B660">
        <v>3023</v>
      </c>
      <c r="C660" t="s">
        <v>362</v>
      </c>
      <c r="D660" t="s">
        <v>306</v>
      </c>
      <c r="E660" t="s">
        <v>42</v>
      </c>
      <c r="F660" t="s">
        <v>1435</v>
      </c>
      <c r="G660" t="str">
        <f>"00238035"</f>
        <v>00238035</v>
      </c>
      <c r="H660" t="s">
        <v>498</v>
      </c>
      <c r="I660">
        <v>0</v>
      </c>
      <c r="J660">
        <v>0</v>
      </c>
      <c r="K660">
        <v>0</v>
      </c>
      <c r="L660">
        <v>260</v>
      </c>
      <c r="M660">
        <v>0</v>
      </c>
      <c r="N660">
        <v>70</v>
      </c>
      <c r="O660">
        <v>30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77</v>
      </c>
      <c r="W660">
        <v>539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1436</v>
      </c>
    </row>
    <row r="661" spans="1:30" x14ac:dyDescent="0.25">
      <c r="H661" t="s">
        <v>1273</v>
      </c>
    </row>
    <row r="662" spans="1:30" x14ac:dyDescent="0.25">
      <c r="A662">
        <v>328</v>
      </c>
      <c r="B662">
        <v>4699</v>
      </c>
      <c r="C662" t="s">
        <v>1437</v>
      </c>
      <c r="D662" t="s">
        <v>35</v>
      </c>
      <c r="E662" t="s">
        <v>59</v>
      </c>
      <c r="F662" t="s">
        <v>1438</v>
      </c>
      <c r="G662" t="str">
        <f>"00015785"</f>
        <v>00015785</v>
      </c>
      <c r="H662" t="s">
        <v>215</v>
      </c>
      <c r="I662">
        <v>0</v>
      </c>
      <c r="J662">
        <v>0</v>
      </c>
      <c r="K662">
        <v>0</v>
      </c>
      <c r="L662">
        <v>200</v>
      </c>
      <c r="M662">
        <v>0</v>
      </c>
      <c r="N662">
        <v>70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84</v>
      </c>
      <c r="W662">
        <v>588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1439</v>
      </c>
    </row>
    <row r="663" spans="1:30" x14ac:dyDescent="0.25">
      <c r="H663" t="s">
        <v>1440</v>
      </c>
    </row>
    <row r="664" spans="1:30" x14ac:dyDescent="0.25">
      <c r="A664">
        <v>329</v>
      </c>
      <c r="B664">
        <v>2667</v>
      </c>
      <c r="C664" t="s">
        <v>1441</v>
      </c>
      <c r="D664" t="s">
        <v>1442</v>
      </c>
      <c r="E664" t="s">
        <v>1443</v>
      </c>
      <c r="F664" t="s">
        <v>1444</v>
      </c>
      <c r="G664" t="str">
        <f>"00015767"</f>
        <v>00015767</v>
      </c>
      <c r="H664" t="s">
        <v>68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84</v>
      </c>
      <c r="W664">
        <v>588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1445</v>
      </c>
    </row>
    <row r="665" spans="1:30" x14ac:dyDescent="0.25">
      <c r="H665" t="s">
        <v>1446</v>
      </c>
    </row>
    <row r="666" spans="1:30" x14ac:dyDescent="0.25">
      <c r="A666">
        <v>330</v>
      </c>
      <c r="B666">
        <v>4712</v>
      </c>
      <c r="C666" t="s">
        <v>1447</v>
      </c>
      <c r="D666" t="s">
        <v>34</v>
      </c>
      <c r="E666" t="s">
        <v>225</v>
      </c>
      <c r="F666" t="s">
        <v>1448</v>
      </c>
      <c r="G666" t="str">
        <f>"201504002537"</f>
        <v>201504002537</v>
      </c>
      <c r="H666" t="s">
        <v>375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70</v>
      </c>
      <c r="O666">
        <v>0</v>
      </c>
      <c r="P666">
        <v>50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42</v>
      </c>
      <c r="W666">
        <v>294</v>
      </c>
      <c r="X666">
        <v>0</v>
      </c>
      <c r="Z666">
        <v>0</v>
      </c>
      <c r="AA666">
        <v>0</v>
      </c>
      <c r="AB666">
        <v>18</v>
      </c>
      <c r="AC666">
        <v>306</v>
      </c>
      <c r="AD666" t="s">
        <v>1449</v>
      </c>
    </row>
    <row r="667" spans="1:30" x14ac:dyDescent="0.25">
      <c r="H667" t="s">
        <v>1450</v>
      </c>
    </row>
    <row r="668" spans="1:30" x14ac:dyDescent="0.25">
      <c r="A668">
        <v>331</v>
      </c>
      <c r="B668">
        <v>1593</v>
      </c>
      <c r="C668" t="s">
        <v>1451</v>
      </c>
      <c r="D668" t="s">
        <v>203</v>
      </c>
      <c r="E668" t="s">
        <v>1452</v>
      </c>
      <c r="F668" t="s">
        <v>1453</v>
      </c>
      <c r="G668" t="str">
        <f>"00142032"</f>
        <v>00142032</v>
      </c>
      <c r="H668" t="s">
        <v>176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50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60</v>
      </c>
      <c r="W668">
        <v>420</v>
      </c>
      <c r="X668">
        <v>0</v>
      </c>
      <c r="Z668">
        <v>0</v>
      </c>
      <c r="AA668">
        <v>0</v>
      </c>
      <c r="AB668">
        <v>24</v>
      </c>
      <c r="AC668">
        <v>408</v>
      </c>
      <c r="AD668" t="s">
        <v>1454</v>
      </c>
    </row>
    <row r="669" spans="1:30" x14ac:dyDescent="0.25">
      <c r="H669" t="s">
        <v>1455</v>
      </c>
    </row>
    <row r="670" spans="1:30" x14ac:dyDescent="0.25">
      <c r="A670">
        <v>332</v>
      </c>
      <c r="B670">
        <v>4180</v>
      </c>
      <c r="C670" t="s">
        <v>1456</v>
      </c>
      <c r="D670" t="s">
        <v>311</v>
      </c>
      <c r="E670" t="s">
        <v>135</v>
      </c>
      <c r="F670" t="s">
        <v>1457</v>
      </c>
      <c r="G670" t="str">
        <f>"00018882"</f>
        <v>00018882</v>
      </c>
      <c r="H670" t="s">
        <v>302</v>
      </c>
      <c r="I670">
        <v>0</v>
      </c>
      <c r="J670">
        <v>0</v>
      </c>
      <c r="K670">
        <v>0</v>
      </c>
      <c r="L670">
        <v>200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84</v>
      </c>
      <c r="W670">
        <v>588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1458</v>
      </c>
    </row>
    <row r="671" spans="1:30" x14ac:dyDescent="0.25">
      <c r="H671" t="s">
        <v>1459</v>
      </c>
    </row>
    <row r="672" spans="1:30" x14ac:dyDescent="0.25">
      <c r="A672">
        <v>333</v>
      </c>
      <c r="B672">
        <v>3699</v>
      </c>
      <c r="C672" t="s">
        <v>1460</v>
      </c>
      <c r="D672" t="s">
        <v>1461</v>
      </c>
      <c r="E672" t="s">
        <v>1462</v>
      </c>
      <c r="F672" t="s">
        <v>1463</v>
      </c>
      <c r="G672" t="str">
        <f>"00166037"</f>
        <v>00166037</v>
      </c>
      <c r="H672" t="s">
        <v>302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60</v>
      </c>
      <c r="W672">
        <v>420</v>
      </c>
      <c r="X672">
        <v>0</v>
      </c>
      <c r="Z672">
        <v>0</v>
      </c>
      <c r="AA672">
        <v>0</v>
      </c>
      <c r="AB672">
        <v>24</v>
      </c>
      <c r="AC672">
        <v>408</v>
      </c>
      <c r="AD672" t="s">
        <v>1458</v>
      </c>
    </row>
    <row r="673" spans="1:30" x14ac:dyDescent="0.25">
      <c r="H673" t="s">
        <v>1464</v>
      </c>
    </row>
    <row r="674" spans="1:30" x14ac:dyDescent="0.25">
      <c r="A674">
        <v>334</v>
      </c>
      <c r="B674">
        <v>4581</v>
      </c>
      <c r="C674" t="s">
        <v>66</v>
      </c>
      <c r="D674" t="s">
        <v>1465</v>
      </c>
      <c r="E674" t="s">
        <v>59</v>
      </c>
      <c r="F674" t="s">
        <v>1466</v>
      </c>
      <c r="G674" t="str">
        <f>"00274731"</f>
        <v>00274731</v>
      </c>
      <c r="H674" t="s">
        <v>79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70</v>
      </c>
      <c r="O674">
        <v>0</v>
      </c>
      <c r="P674">
        <v>0</v>
      </c>
      <c r="Q674">
        <v>30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6</v>
      </c>
      <c r="Y674">
        <v>1084</v>
      </c>
      <c r="Z674">
        <v>0</v>
      </c>
      <c r="AA674">
        <v>0</v>
      </c>
      <c r="AB674">
        <v>0</v>
      </c>
      <c r="AC674">
        <v>0</v>
      </c>
      <c r="AD674" t="s">
        <v>1467</v>
      </c>
    </row>
    <row r="675" spans="1:30" x14ac:dyDescent="0.25">
      <c r="H675" t="s">
        <v>1468</v>
      </c>
    </row>
    <row r="676" spans="1:30" x14ac:dyDescent="0.25">
      <c r="A676">
        <v>335</v>
      </c>
      <c r="B676">
        <v>4581</v>
      </c>
      <c r="C676" t="s">
        <v>66</v>
      </c>
      <c r="D676" t="s">
        <v>1465</v>
      </c>
      <c r="E676" t="s">
        <v>59</v>
      </c>
      <c r="F676" t="s">
        <v>1466</v>
      </c>
      <c r="G676" t="str">
        <f>"00274731"</f>
        <v>00274731</v>
      </c>
      <c r="H676" t="s">
        <v>79</v>
      </c>
      <c r="I676">
        <v>0</v>
      </c>
      <c r="J676">
        <v>0</v>
      </c>
      <c r="K676">
        <v>0</v>
      </c>
      <c r="L676">
        <v>200</v>
      </c>
      <c r="M676">
        <v>0</v>
      </c>
      <c r="N676">
        <v>70</v>
      </c>
      <c r="O676">
        <v>0</v>
      </c>
      <c r="P676">
        <v>0</v>
      </c>
      <c r="Q676">
        <v>30</v>
      </c>
      <c r="R676">
        <v>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1467</v>
      </c>
    </row>
    <row r="677" spans="1:30" x14ac:dyDescent="0.25">
      <c r="H677" t="s">
        <v>1468</v>
      </c>
    </row>
    <row r="678" spans="1:30" x14ac:dyDescent="0.25">
      <c r="A678">
        <v>336</v>
      </c>
      <c r="B678">
        <v>4953</v>
      </c>
      <c r="C678" t="s">
        <v>1469</v>
      </c>
      <c r="D678" t="s">
        <v>1470</v>
      </c>
      <c r="E678" t="s">
        <v>77</v>
      </c>
      <c r="F678" t="s">
        <v>1471</v>
      </c>
      <c r="G678" t="str">
        <f>"201504002991"</f>
        <v>201504002991</v>
      </c>
      <c r="H678">
        <v>814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70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84</v>
      </c>
      <c r="W678">
        <v>588</v>
      </c>
      <c r="X678">
        <v>0</v>
      </c>
      <c r="Z678">
        <v>0</v>
      </c>
      <c r="AA678">
        <v>0</v>
      </c>
      <c r="AB678">
        <v>0</v>
      </c>
      <c r="AC678">
        <v>0</v>
      </c>
      <c r="AD678">
        <v>1672</v>
      </c>
    </row>
    <row r="679" spans="1:30" x14ac:dyDescent="0.25">
      <c r="H679" t="s">
        <v>1472</v>
      </c>
    </row>
    <row r="680" spans="1:30" x14ac:dyDescent="0.25">
      <c r="A680">
        <v>337</v>
      </c>
      <c r="B680">
        <v>5319</v>
      </c>
      <c r="C680" t="s">
        <v>1473</v>
      </c>
      <c r="D680" t="s">
        <v>1474</v>
      </c>
      <c r="E680" t="s">
        <v>77</v>
      </c>
      <c r="F680" t="s">
        <v>1475</v>
      </c>
      <c r="G680" t="str">
        <f>"200803000067"</f>
        <v>200803000067</v>
      </c>
      <c r="H680">
        <v>814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60</v>
      </c>
      <c r="W680">
        <v>420</v>
      </c>
      <c r="X680">
        <v>0</v>
      </c>
      <c r="Z680">
        <v>0</v>
      </c>
      <c r="AA680">
        <v>0</v>
      </c>
      <c r="AB680">
        <v>24</v>
      </c>
      <c r="AC680">
        <v>408</v>
      </c>
      <c r="AD680">
        <v>1672</v>
      </c>
    </row>
    <row r="681" spans="1:30" x14ac:dyDescent="0.25">
      <c r="H681" t="s">
        <v>1476</v>
      </c>
    </row>
    <row r="682" spans="1:30" x14ac:dyDescent="0.25">
      <c r="A682">
        <v>338</v>
      </c>
      <c r="B682">
        <v>2955</v>
      </c>
      <c r="C682" t="s">
        <v>1477</v>
      </c>
      <c r="D682" t="s">
        <v>755</v>
      </c>
      <c r="E682" t="s">
        <v>59</v>
      </c>
      <c r="F682" t="s">
        <v>1478</v>
      </c>
      <c r="G682" t="str">
        <f>"201504003996"</f>
        <v>201504003996</v>
      </c>
      <c r="H682" t="s">
        <v>414</v>
      </c>
      <c r="I682">
        <v>150</v>
      </c>
      <c r="J682">
        <v>0</v>
      </c>
      <c r="K682">
        <v>0</v>
      </c>
      <c r="L682">
        <v>200</v>
      </c>
      <c r="M682">
        <v>30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68</v>
      </c>
      <c r="W682">
        <v>476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1479</v>
      </c>
    </row>
    <row r="683" spans="1:30" x14ac:dyDescent="0.25">
      <c r="H683" t="s">
        <v>1480</v>
      </c>
    </row>
    <row r="684" spans="1:30" x14ac:dyDescent="0.25">
      <c r="A684">
        <v>339</v>
      </c>
      <c r="B684">
        <v>1603</v>
      </c>
      <c r="C684" t="s">
        <v>1481</v>
      </c>
      <c r="D684" t="s">
        <v>576</v>
      </c>
      <c r="E684" t="s">
        <v>978</v>
      </c>
      <c r="F684" t="s">
        <v>1482</v>
      </c>
      <c r="G684" t="str">
        <f>"00322190"</f>
        <v>00322190</v>
      </c>
      <c r="H684" t="s">
        <v>1159</v>
      </c>
      <c r="I684">
        <v>150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1483</v>
      </c>
    </row>
    <row r="685" spans="1:30" x14ac:dyDescent="0.25">
      <c r="H685" t="s">
        <v>1484</v>
      </c>
    </row>
    <row r="686" spans="1:30" x14ac:dyDescent="0.25">
      <c r="A686">
        <v>340</v>
      </c>
      <c r="B686">
        <v>4765</v>
      </c>
      <c r="C686" t="s">
        <v>1485</v>
      </c>
      <c r="D686" t="s">
        <v>77</v>
      </c>
      <c r="E686" t="s">
        <v>135</v>
      </c>
      <c r="F686" t="s">
        <v>1486</v>
      </c>
      <c r="G686" t="str">
        <f>"00143552"</f>
        <v>00143552</v>
      </c>
      <c r="H686" t="s">
        <v>761</v>
      </c>
      <c r="I686">
        <v>0</v>
      </c>
      <c r="J686">
        <v>0</v>
      </c>
      <c r="K686">
        <v>0</v>
      </c>
      <c r="L686">
        <v>200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40</v>
      </c>
      <c r="W686">
        <v>280</v>
      </c>
      <c r="X686">
        <v>0</v>
      </c>
      <c r="Z686">
        <v>0</v>
      </c>
      <c r="AA686">
        <v>0</v>
      </c>
      <c r="AB686">
        <v>24</v>
      </c>
      <c r="AC686">
        <v>408</v>
      </c>
      <c r="AD686" t="s">
        <v>1487</v>
      </c>
    </row>
    <row r="687" spans="1:30" x14ac:dyDescent="0.25">
      <c r="H687" t="s">
        <v>1488</v>
      </c>
    </row>
    <row r="688" spans="1:30" x14ac:dyDescent="0.25">
      <c r="A688">
        <v>341</v>
      </c>
      <c r="B688">
        <v>3891</v>
      </c>
      <c r="C688" t="s">
        <v>1489</v>
      </c>
      <c r="D688" t="s">
        <v>59</v>
      </c>
      <c r="E688" t="s">
        <v>984</v>
      </c>
      <c r="F688" t="s">
        <v>1490</v>
      </c>
      <c r="G688" t="str">
        <f>"00012998"</f>
        <v>00012998</v>
      </c>
      <c r="H688" t="s">
        <v>1491</v>
      </c>
      <c r="I688">
        <v>0</v>
      </c>
      <c r="J688">
        <v>0</v>
      </c>
      <c r="K688">
        <v>0</v>
      </c>
      <c r="L688">
        <v>200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60</v>
      </c>
      <c r="W688">
        <v>420</v>
      </c>
      <c r="X688">
        <v>0</v>
      </c>
      <c r="Z688">
        <v>0</v>
      </c>
      <c r="AA688">
        <v>0</v>
      </c>
      <c r="AB688">
        <v>24</v>
      </c>
      <c r="AC688">
        <v>408</v>
      </c>
      <c r="AD688" t="s">
        <v>1487</v>
      </c>
    </row>
    <row r="689" spans="1:30" x14ac:dyDescent="0.25">
      <c r="H689" t="s">
        <v>1492</v>
      </c>
    </row>
    <row r="690" spans="1:30" x14ac:dyDescent="0.25">
      <c r="A690">
        <v>342</v>
      </c>
      <c r="B690">
        <v>13</v>
      </c>
      <c r="C690" t="s">
        <v>1493</v>
      </c>
      <c r="D690" t="s">
        <v>89</v>
      </c>
      <c r="E690" t="s">
        <v>59</v>
      </c>
      <c r="F690" t="s">
        <v>1494</v>
      </c>
      <c r="G690" t="str">
        <f>"00138178"</f>
        <v>00138178</v>
      </c>
      <c r="H690" t="s">
        <v>1495</v>
      </c>
      <c r="I690">
        <v>0</v>
      </c>
      <c r="J690">
        <v>0</v>
      </c>
      <c r="K690">
        <v>0</v>
      </c>
      <c r="L690">
        <v>200</v>
      </c>
      <c r="M690">
        <v>0</v>
      </c>
      <c r="N690">
        <v>30</v>
      </c>
      <c r="O690">
        <v>30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84</v>
      </c>
      <c r="W690">
        <v>588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1496</v>
      </c>
    </row>
    <row r="691" spans="1:30" x14ac:dyDescent="0.25">
      <c r="H691" t="s">
        <v>1497</v>
      </c>
    </row>
    <row r="692" spans="1:30" x14ac:dyDescent="0.25">
      <c r="A692">
        <v>343</v>
      </c>
      <c r="B692">
        <v>3879</v>
      </c>
      <c r="C692" t="s">
        <v>1498</v>
      </c>
      <c r="D692" t="s">
        <v>170</v>
      </c>
      <c r="E692" t="s">
        <v>15</v>
      </c>
      <c r="F692" t="s">
        <v>1499</v>
      </c>
      <c r="G692" t="str">
        <f>"00118289"</f>
        <v>00118289</v>
      </c>
      <c r="H692">
        <v>781</v>
      </c>
      <c r="I692">
        <v>0</v>
      </c>
      <c r="J692">
        <v>0</v>
      </c>
      <c r="K692">
        <v>0</v>
      </c>
      <c r="L692">
        <v>200</v>
      </c>
      <c r="M692">
        <v>30</v>
      </c>
      <c r="N692">
        <v>70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84</v>
      </c>
      <c r="W692">
        <v>588</v>
      </c>
      <c r="X692">
        <v>0</v>
      </c>
      <c r="Z692">
        <v>0</v>
      </c>
      <c r="AA692">
        <v>0</v>
      </c>
      <c r="AB692">
        <v>0</v>
      </c>
      <c r="AC692">
        <v>0</v>
      </c>
      <c r="AD692">
        <v>1669</v>
      </c>
    </row>
    <row r="693" spans="1:30" x14ac:dyDescent="0.25">
      <c r="H693" t="s">
        <v>1500</v>
      </c>
    </row>
    <row r="694" spans="1:30" x14ac:dyDescent="0.25">
      <c r="A694">
        <v>344</v>
      </c>
      <c r="B694">
        <v>391</v>
      </c>
      <c r="C694" t="s">
        <v>1501</v>
      </c>
      <c r="D694" t="s">
        <v>1502</v>
      </c>
      <c r="E694" t="s">
        <v>59</v>
      </c>
      <c r="F694" t="s">
        <v>1503</v>
      </c>
      <c r="G694" t="str">
        <f>"00016175"</f>
        <v>00016175</v>
      </c>
      <c r="H694" t="s">
        <v>1504</v>
      </c>
      <c r="I694">
        <v>0</v>
      </c>
      <c r="J694">
        <v>0</v>
      </c>
      <c r="K694">
        <v>0</v>
      </c>
      <c r="L694">
        <v>200</v>
      </c>
      <c r="M694">
        <v>0</v>
      </c>
      <c r="N694">
        <v>70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84</v>
      </c>
      <c r="W694">
        <v>588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1505</v>
      </c>
    </row>
    <row r="695" spans="1:30" x14ac:dyDescent="0.25">
      <c r="H695" t="s">
        <v>1506</v>
      </c>
    </row>
    <row r="696" spans="1:30" x14ac:dyDescent="0.25">
      <c r="A696">
        <v>345</v>
      </c>
      <c r="B696">
        <v>4757</v>
      </c>
      <c r="C696" t="s">
        <v>1507</v>
      </c>
      <c r="D696" t="s">
        <v>272</v>
      </c>
      <c r="E696" t="s">
        <v>42</v>
      </c>
      <c r="F696" t="s">
        <v>1508</v>
      </c>
      <c r="G696" t="str">
        <f>"00338168"</f>
        <v>00338168</v>
      </c>
      <c r="H696" t="s">
        <v>348</v>
      </c>
      <c r="I696">
        <v>0</v>
      </c>
      <c r="J696">
        <v>0</v>
      </c>
      <c r="K696">
        <v>0</v>
      </c>
      <c r="L696">
        <v>260</v>
      </c>
      <c r="M696">
        <v>0</v>
      </c>
      <c r="N696">
        <v>70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84</v>
      </c>
      <c r="W696">
        <v>588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1509</v>
      </c>
    </row>
    <row r="697" spans="1:30" x14ac:dyDescent="0.25">
      <c r="H697" t="s">
        <v>1510</v>
      </c>
    </row>
    <row r="698" spans="1:30" x14ac:dyDescent="0.25">
      <c r="A698">
        <v>346</v>
      </c>
      <c r="B698">
        <v>217</v>
      </c>
      <c r="C698" t="s">
        <v>1511</v>
      </c>
      <c r="D698" t="s">
        <v>89</v>
      </c>
      <c r="E698" t="s">
        <v>42</v>
      </c>
      <c r="F698" t="s">
        <v>1512</v>
      </c>
      <c r="G698" t="str">
        <f>"201504003829"</f>
        <v>201504003829</v>
      </c>
      <c r="H698" t="s">
        <v>822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70</v>
      </c>
      <c r="O698">
        <v>50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1513</v>
      </c>
    </row>
    <row r="699" spans="1:30" x14ac:dyDescent="0.25">
      <c r="H699" t="s">
        <v>1514</v>
      </c>
    </row>
    <row r="700" spans="1:30" x14ac:dyDescent="0.25">
      <c r="A700">
        <v>347</v>
      </c>
      <c r="B700">
        <v>789</v>
      </c>
      <c r="C700" t="s">
        <v>1515</v>
      </c>
      <c r="D700" t="s">
        <v>423</v>
      </c>
      <c r="E700" t="s">
        <v>77</v>
      </c>
      <c r="F700" t="s">
        <v>1516</v>
      </c>
      <c r="G700" t="str">
        <f>"00031192"</f>
        <v>00031192</v>
      </c>
      <c r="H700" t="s">
        <v>74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70</v>
      </c>
      <c r="O700">
        <v>0</v>
      </c>
      <c r="P700">
        <v>0</v>
      </c>
      <c r="Q700">
        <v>30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1517</v>
      </c>
    </row>
    <row r="701" spans="1:30" x14ac:dyDescent="0.25">
      <c r="H701" t="s">
        <v>1518</v>
      </c>
    </row>
    <row r="702" spans="1:30" x14ac:dyDescent="0.25">
      <c r="A702">
        <v>348</v>
      </c>
      <c r="B702">
        <v>4501</v>
      </c>
      <c r="C702" t="s">
        <v>1239</v>
      </c>
      <c r="D702" t="s">
        <v>77</v>
      </c>
      <c r="E702" t="s">
        <v>28</v>
      </c>
      <c r="F702" t="s">
        <v>1519</v>
      </c>
      <c r="G702" t="str">
        <f>"00340925"</f>
        <v>00340925</v>
      </c>
      <c r="H702" t="s">
        <v>651</v>
      </c>
      <c r="I702">
        <v>0</v>
      </c>
      <c r="J702">
        <v>0</v>
      </c>
      <c r="K702">
        <v>0</v>
      </c>
      <c r="L702">
        <v>200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1520</v>
      </c>
    </row>
    <row r="703" spans="1:30" x14ac:dyDescent="0.25">
      <c r="H703" t="s">
        <v>1521</v>
      </c>
    </row>
    <row r="704" spans="1:30" x14ac:dyDescent="0.25">
      <c r="A704">
        <v>349</v>
      </c>
      <c r="B704">
        <v>1466</v>
      </c>
      <c r="C704" t="s">
        <v>1522</v>
      </c>
      <c r="D704" t="s">
        <v>35</v>
      </c>
      <c r="E704" t="s">
        <v>135</v>
      </c>
      <c r="F704" t="s">
        <v>1523</v>
      </c>
      <c r="G704" t="str">
        <f>"201504001423"</f>
        <v>201504001423</v>
      </c>
      <c r="H704" t="s">
        <v>737</v>
      </c>
      <c r="I704">
        <v>0</v>
      </c>
      <c r="J704">
        <v>0</v>
      </c>
      <c r="K704">
        <v>0</v>
      </c>
      <c r="L704">
        <v>200</v>
      </c>
      <c r="M704">
        <v>0</v>
      </c>
      <c r="N704">
        <v>70</v>
      </c>
      <c r="O704">
        <v>0</v>
      </c>
      <c r="P704">
        <v>70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84</v>
      </c>
      <c r="W704">
        <v>588</v>
      </c>
      <c r="X704">
        <v>0</v>
      </c>
      <c r="Z704">
        <v>0</v>
      </c>
      <c r="AA704">
        <v>0</v>
      </c>
      <c r="AB704">
        <v>0</v>
      </c>
      <c r="AC704">
        <v>0</v>
      </c>
      <c r="AD704" t="s">
        <v>1524</v>
      </c>
    </row>
    <row r="705" spans="1:30" x14ac:dyDescent="0.25">
      <c r="H705">
        <v>1072</v>
      </c>
    </row>
    <row r="706" spans="1:30" x14ac:dyDescent="0.25">
      <c r="A706">
        <v>350</v>
      </c>
      <c r="B706">
        <v>3361</v>
      </c>
      <c r="C706" t="s">
        <v>1048</v>
      </c>
      <c r="D706" t="s">
        <v>1525</v>
      </c>
      <c r="E706" t="s">
        <v>42</v>
      </c>
      <c r="F706" t="s">
        <v>1526</v>
      </c>
      <c r="G706" t="str">
        <f>"201401001020"</f>
        <v>201401001020</v>
      </c>
      <c r="H706" t="s">
        <v>772</v>
      </c>
      <c r="I706">
        <v>0</v>
      </c>
      <c r="J706">
        <v>0</v>
      </c>
      <c r="K706">
        <v>0</v>
      </c>
      <c r="L706">
        <v>260</v>
      </c>
      <c r="M706">
        <v>0</v>
      </c>
      <c r="N706">
        <v>50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1527</v>
      </c>
    </row>
    <row r="707" spans="1:30" x14ac:dyDescent="0.25">
      <c r="H707" t="s">
        <v>1528</v>
      </c>
    </row>
    <row r="708" spans="1:30" x14ac:dyDescent="0.25">
      <c r="A708">
        <v>351</v>
      </c>
      <c r="B708">
        <v>4201</v>
      </c>
      <c r="C708" t="s">
        <v>1529</v>
      </c>
      <c r="D708" t="s">
        <v>28</v>
      </c>
      <c r="E708" t="s">
        <v>77</v>
      </c>
      <c r="F708" t="s">
        <v>1530</v>
      </c>
      <c r="G708" t="str">
        <f>"00048991"</f>
        <v>00048991</v>
      </c>
      <c r="H708" t="s">
        <v>772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60</v>
      </c>
      <c r="W708">
        <v>420</v>
      </c>
      <c r="X708">
        <v>0</v>
      </c>
      <c r="Z708">
        <v>0</v>
      </c>
      <c r="AA708">
        <v>0</v>
      </c>
      <c r="AB708">
        <v>24</v>
      </c>
      <c r="AC708">
        <v>408</v>
      </c>
      <c r="AD708" t="s">
        <v>1527</v>
      </c>
    </row>
    <row r="709" spans="1:30" x14ac:dyDescent="0.25">
      <c r="H709" t="s">
        <v>1531</v>
      </c>
    </row>
    <row r="710" spans="1:30" x14ac:dyDescent="0.25">
      <c r="A710">
        <v>352</v>
      </c>
      <c r="B710">
        <v>3079</v>
      </c>
      <c r="C710" t="s">
        <v>1532</v>
      </c>
      <c r="D710" t="s">
        <v>14</v>
      </c>
      <c r="E710" t="s">
        <v>1533</v>
      </c>
      <c r="F710" t="s">
        <v>1534</v>
      </c>
      <c r="G710" t="str">
        <f>"00022980"</f>
        <v>00022980</v>
      </c>
      <c r="H710" t="s">
        <v>1282</v>
      </c>
      <c r="I710">
        <v>0</v>
      </c>
      <c r="J710">
        <v>0</v>
      </c>
      <c r="K710">
        <v>0</v>
      </c>
      <c r="L710">
        <v>200</v>
      </c>
      <c r="M710">
        <v>0</v>
      </c>
      <c r="N710">
        <v>70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84</v>
      </c>
      <c r="W710">
        <v>588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1535</v>
      </c>
    </row>
    <row r="711" spans="1:30" x14ac:dyDescent="0.25">
      <c r="H711" t="s">
        <v>1536</v>
      </c>
    </row>
    <row r="712" spans="1:30" x14ac:dyDescent="0.25">
      <c r="A712">
        <v>353</v>
      </c>
      <c r="B712">
        <v>4440</v>
      </c>
      <c r="C712" t="s">
        <v>1537</v>
      </c>
      <c r="D712" t="s">
        <v>89</v>
      </c>
      <c r="E712" t="s">
        <v>77</v>
      </c>
      <c r="F712" t="s">
        <v>1538</v>
      </c>
      <c r="G712" t="str">
        <f>"00036092"</f>
        <v>00036092</v>
      </c>
      <c r="H712" t="s">
        <v>138</v>
      </c>
      <c r="I712">
        <v>0</v>
      </c>
      <c r="J712">
        <v>0</v>
      </c>
      <c r="K712">
        <v>0</v>
      </c>
      <c r="L712">
        <v>200</v>
      </c>
      <c r="M712">
        <v>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84</v>
      </c>
      <c r="W712">
        <v>588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1539</v>
      </c>
    </row>
    <row r="713" spans="1:30" x14ac:dyDescent="0.25">
      <c r="H713" t="s">
        <v>1540</v>
      </c>
    </row>
    <row r="714" spans="1:30" x14ac:dyDescent="0.25">
      <c r="A714">
        <v>354</v>
      </c>
      <c r="B714">
        <v>4946</v>
      </c>
      <c r="C714" t="s">
        <v>1541</v>
      </c>
      <c r="D714" t="s">
        <v>1542</v>
      </c>
      <c r="E714" t="s">
        <v>158</v>
      </c>
      <c r="F714" t="s">
        <v>1543</v>
      </c>
      <c r="G714" t="str">
        <f>"201503000379"</f>
        <v>201503000379</v>
      </c>
      <c r="H714" t="s">
        <v>215</v>
      </c>
      <c r="I714">
        <v>0</v>
      </c>
      <c r="J714">
        <v>0</v>
      </c>
      <c r="K714">
        <v>0</v>
      </c>
      <c r="L714">
        <v>200</v>
      </c>
      <c r="M714">
        <v>0</v>
      </c>
      <c r="N714">
        <v>30</v>
      </c>
      <c r="O714">
        <v>30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84</v>
      </c>
      <c r="W714">
        <v>588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1544</v>
      </c>
    </row>
    <row r="715" spans="1:30" x14ac:dyDescent="0.25">
      <c r="H715" t="s">
        <v>1545</v>
      </c>
    </row>
    <row r="716" spans="1:30" x14ac:dyDescent="0.25">
      <c r="A716">
        <v>355</v>
      </c>
      <c r="B716">
        <v>4639</v>
      </c>
      <c r="C716" t="s">
        <v>1546</v>
      </c>
      <c r="D716" t="s">
        <v>89</v>
      </c>
      <c r="E716" t="s">
        <v>28</v>
      </c>
      <c r="F716" t="s">
        <v>1547</v>
      </c>
      <c r="G716" t="str">
        <f>"00017182"</f>
        <v>00017182</v>
      </c>
      <c r="H716" t="s">
        <v>1548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70</v>
      </c>
      <c r="O716">
        <v>50</v>
      </c>
      <c r="P716">
        <v>0</v>
      </c>
      <c r="Q716">
        <v>0</v>
      </c>
      <c r="R716">
        <v>30</v>
      </c>
      <c r="S716">
        <v>0</v>
      </c>
      <c r="T716">
        <v>0</v>
      </c>
      <c r="U716">
        <v>0</v>
      </c>
      <c r="V716">
        <v>84</v>
      </c>
      <c r="W716">
        <v>588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1549</v>
      </c>
    </row>
    <row r="717" spans="1:30" x14ac:dyDescent="0.25">
      <c r="H717" t="s">
        <v>63</v>
      </c>
    </row>
    <row r="718" spans="1:30" x14ac:dyDescent="0.25">
      <c r="A718">
        <v>356</v>
      </c>
      <c r="B718">
        <v>297</v>
      </c>
      <c r="C718" t="s">
        <v>179</v>
      </c>
      <c r="D718" t="s">
        <v>77</v>
      </c>
      <c r="E718" t="s">
        <v>59</v>
      </c>
      <c r="F718" t="s">
        <v>1550</v>
      </c>
      <c r="G718" t="str">
        <f>"00297711"</f>
        <v>00297711</v>
      </c>
      <c r="H718">
        <v>957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50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70</v>
      </c>
      <c r="U718">
        <v>0</v>
      </c>
      <c r="V718">
        <v>84</v>
      </c>
      <c r="W718">
        <v>588</v>
      </c>
      <c r="X718">
        <v>0</v>
      </c>
      <c r="Z718">
        <v>0</v>
      </c>
      <c r="AA718">
        <v>0</v>
      </c>
      <c r="AB718">
        <v>0</v>
      </c>
      <c r="AC718">
        <v>0</v>
      </c>
      <c r="AD718">
        <v>1665</v>
      </c>
    </row>
    <row r="719" spans="1:30" x14ac:dyDescent="0.25">
      <c r="H719">
        <v>1089</v>
      </c>
    </row>
    <row r="720" spans="1:30" x14ac:dyDescent="0.25">
      <c r="A720">
        <v>357</v>
      </c>
      <c r="B720">
        <v>909</v>
      </c>
      <c r="C720" t="s">
        <v>490</v>
      </c>
      <c r="D720" t="s">
        <v>225</v>
      </c>
      <c r="E720" t="s">
        <v>59</v>
      </c>
      <c r="F720" t="s">
        <v>491</v>
      </c>
      <c r="G720" t="str">
        <f>"00297642"</f>
        <v>00297642</v>
      </c>
      <c r="H720" t="s">
        <v>492</v>
      </c>
      <c r="I720">
        <v>0</v>
      </c>
      <c r="J720">
        <v>0</v>
      </c>
      <c r="K720">
        <v>0</v>
      </c>
      <c r="L720">
        <v>200</v>
      </c>
      <c r="M720">
        <v>30</v>
      </c>
      <c r="N720">
        <v>70</v>
      </c>
      <c r="O720">
        <v>0</v>
      </c>
      <c r="P720">
        <v>30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84</v>
      </c>
      <c r="W720">
        <v>588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1551</v>
      </c>
    </row>
    <row r="721" spans="1:30" x14ac:dyDescent="0.25">
      <c r="H721" t="s">
        <v>494</v>
      </c>
    </row>
    <row r="722" spans="1:30" x14ac:dyDescent="0.25">
      <c r="A722">
        <v>358</v>
      </c>
      <c r="B722">
        <v>4847</v>
      </c>
      <c r="C722" t="s">
        <v>495</v>
      </c>
      <c r="D722" t="s">
        <v>496</v>
      </c>
      <c r="E722" t="s">
        <v>66</v>
      </c>
      <c r="F722" t="s">
        <v>497</v>
      </c>
      <c r="G722" t="str">
        <f>"201410012818"</f>
        <v>201410012818</v>
      </c>
      <c r="H722" t="s">
        <v>498</v>
      </c>
      <c r="I722">
        <v>0</v>
      </c>
      <c r="J722">
        <v>0</v>
      </c>
      <c r="K722">
        <v>0</v>
      </c>
      <c r="L722">
        <v>200</v>
      </c>
      <c r="M722">
        <v>0</v>
      </c>
      <c r="N722">
        <v>70</v>
      </c>
      <c r="O722">
        <v>30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84</v>
      </c>
      <c r="W722">
        <v>588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1552</v>
      </c>
    </row>
    <row r="723" spans="1:30" x14ac:dyDescent="0.25">
      <c r="H723" t="s">
        <v>500</v>
      </c>
    </row>
    <row r="724" spans="1:30" x14ac:dyDescent="0.25">
      <c r="A724">
        <v>359</v>
      </c>
      <c r="B724">
        <v>2920</v>
      </c>
      <c r="C724" t="s">
        <v>1553</v>
      </c>
      <c r="D724" t="s">
        <v>278</v>
      </c>
      <c r="E724" t="s">
        <v>1554</v>
      </c>
      <c r="F724" t="s">
        <v>1555</v>
      </c>
      <c r="G724" t="str">
        <f>"00350332"</f>
        <v>00350332</v>
      </c>
      <c r="H724" t="s">
        <v>1247</v>
      </c>
      <c r="I724">
        <v>0</v>
      </c>
      <c r="J724">
        <v>0</v>
      </c>
      <c r="K724">
        <v>0</v>
      </c>
      <c r="L724">
        <v>200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1556</v>
      </c>
    </row>
    <row r="725" spans="1:30" x14ac:dyDescent="0.25">
      <c r="H725" t="s">
        <v>1557</v>
      </c>
    </row>
    <row r="726" spans="1:30" x14ac:dyDescent="0.25">
      <c r="A726">
        <v>360</v>
      </c>
      <c r="B726">
        <v>1680</v>
      </c>
      <c r="C726" t="s">
        <v>1558</v>
      </c>
      <c r="D726" t="s">
        <v>1559</v>
      </c>
      <c r="E726" t="s">
        <v>135</v>
      </c>
      <c r="F726" t="s">
        <v>1560</v>
      </c>
      <c r="G726" t="str">
        <f>"201411000745"</f>
        <v>201411000745</v>
      </c>
      <c r="H726" t="s">
        <v>1561</v>
      </c>
      <c r="I726">
        <v>0</v>
      </c>
      <c r="J726">
        <v>0</v>
      </c>
      <c r="K726">
        <v>0</v>
      </c>
      <c r="L726">
        <v>260</v>
      </c>
      <c r="M726">
        <v>0</v>
      </c>
      <c r="N726">
        <v>30</v>
      </c>
      <c r="O726">
        <v>0</v>
      </c>
      <c r="P726">
        <v>50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1556</v>
      </c>
    </row>
    <row r="727" spans="1:30" x14ac:dyDescent="0.25">
      <c r="H727" t="s">
        <v>1562</v>
      </c>
    </row>
    <row r="728" spans="1:30" x14ac:dyDescent="0.25">
      <c r="A728">
        <v>361</v>
      </c>
      <c r="B728">
        <v>2203</v>
      </c>
      <c r="C728" t="s">
        <v>1563</v>
      </c>
      <c r="D728" t="s">
        <v>1564</v>
      </c>
      <c r="E728" t="s">
        <v>42</v>
      </c>
      <c r="F728" t="s">
        <v>1565</v>
      </c>
      <c r="G728" t="str">
        <f>"00081916"</f>
        <v>00081916</v>
      </c>
      <c r="H728" t="s">
        <v>901</v>
      </c>
      <c r="I728">
        <v>0</v>
      </c>
      <c r="J728">
        <v>0</v>
      </c>
      <c r="K728">
        <v>0</v>
      </c>
      <c r="L728">
        <v>200</v>
      </c>
      <c r="M728">
        <v>0</v>
      </c>
      <c r="N728">
        <v>70</v>
      </c>
      <c r="O728">
        <v>30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84</v>
      </c>
      <c r="W728">
        <v>588</v>
      </c>
      <c r="X728">
        <v>0</v>
      </c>
      <c r="Z728">
        <v>0</v>
      </c>
      <c r="AA728">
        <v>0</v>
      </c>
      <c r="AB728">
        <v>0</v>
      </c>
      <c r="AC728">
        <v>0</v>
      </c>
      <c r="AD728" t="s">
        <v>1566</v>
      </c>
    </row>
    <row r="729" spans="1:30" x14ac:dyDescent="0.25">
      <c r="H729" t="s">
        <v>1567</v>
      </c>
    </row>
    <row r="730" spans="1:30" x14ac:dyDescent="0.25">
      <c r="A730">
        <v>362</v>
      </c>
      <c r="B730">
        <v>4845</v>
      </c>
      <c r="C730" t="s">
        <v>1568</v>
      </c>
      <c r="D730" t="s">
        <v>1569</v>
      </c>
      <c r="E730" t="s">
        <v>35</v>
      </c>
      <c r="F730" t="s">
        <v>1570</v>
      </c>
      <c r="G730" t="str">
        <f>"00360173"</f>
        <v>00360173</v>
      </c>
      <c r="H730" t="s">
        <v>901</v>
      </c>
      <c r="I730">
        <v>0</v>
      </c>
      <c r="J730">
        <v>0</v>
      </c>
      <c r="K730">
        <v>0</v>
      </c>
      <c r="L730">
        <v>200</v>
      </c>
      <c r="M730">
        <v>0</v>
      </c>
      <c r="N730">
        <v>70</v>
      </c>
      <c r="O730">
        <v>30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84</v>
      </c>
      <c r="W730">
        <v>588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1566</v>
      </c>
    </row>
    <row r="731" spans="1:30" x14ac:dyDescent="0.25">
      <c r="H731" t="s">
        <v>1571</v>
      </c>
    </row>
    <row r="732" spans="1:30" x14ac:dyDescent="0.25">
      <c r="A732">
        <v>363</v>
      </c>
      <c r="B732">
        <v>900</v>
      </c>
      <c r="C732" t="s">
        <v>1572</v>
      </c>
      <c r="D732" t="s">
        <v>283</v>
      </c>
      <c r="E732" t="s">
        <v>28</v>
      </c>
      <c r="F732" t="s">
        <v>1573</v>
      </c>
      <c r="G732" t="str">
        <f>"200801009799"</f>
        <v>200801009799</v>
      </c>
      <c r="H732" t="s">
        <v>414</v>
      </c>
      <c r="I732">
        <v>0</v>
      </c>
      <c r="J732">
        <v>0</v>
      </c>
      <c r="K732">
        <v>0</v>
      </c>
      <c r="L732">
        <v>260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84</v>
      </c>
      <c r="W732">
        <v>588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1574</v>
      </c>
    </row>
    <row r="733" spans="1:30" x14ac:dyDescent="0.25">
      <c r="H733" t="s">
        <v>1575</v>
      </c>
    </row>
    <row r="734" spans="1:30" x14ac:dyDescent="0.25">
      <c r="A734">
        <v>364</v>
      </c>
      <c r="B734">
        <v>1653</v>
      </c>
      <c r="C734" t="s">
        <v>1576</v>
      </c>
      <c r="D734" t="s">
        <v>35</v>
      </c>
      <c r="E734" t="s">
        <v>148</v>
      </c>
      <c r="F734" t="s">
        <v>1577</v>
      </c>
      <c r="G734" t="str">
        <f>"201412000015"</f>
        <v>201412000015</v>
      </c>
      <c r="H734" t="s">
        <v>244</v>
      </c>
      <c r="I734">
        <v>0</v>
      </c>
      <c r="J734">
        <v>0</v>
      </c>
      <c r="K734">
        <v>0</v>
      </c>
      <c r="L734">
        <v>200</v>
      </c>
      <c r="M734">
        <v>0</v>
      </c>
      <c r="N734">
        <v>30</v>
      </c>
      <c r="O734">
        <v>0</v>
      </c>
      <c r="P734">
        <v>50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1578</v>
      </c>
    </row>
    <row r="735" spans="1:30" x14ac:dyDescent="0.25">
      <c r="H735" t="s">
        <v>1579</v>
      </c>
    </row>
    <row r="736" spans="1:30" x14ac:dyDescent="0.25">
      <c r="A736">
        <v>365</v>
      </c>
      <c r="B736">
        <v>2772</v>
      </c>
      <c r="C736" t="s">
        <v>1580</v>
      </c>
      <c r="D736" t="s">
        <v>35</v>
      </c>
      <c r="E736" t="s">
        <v>1361</v>
      </c>
      <c r="F736" t="s">
        <v>1581</v>
      </c>
      <c r="G736" t="str">
        <f>"00369224"</f>
        <v>00369224</v>
      </c>
      <c r="H736" t="s">
        <v>1107</v>
      </c>
      <c r="I736">
        <v>0</v>
      </c>
      <c r="J736">
        <v>0</v>
      </c>
      <c r="K736">
        <v>0</v>
      </c>
      <c r="L736">
        <v>200</v>
      </c>
      <c r="M736">
        <v>0</v>
      </c>
      <c r="N736">
        <v>70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84</v>
      </c>
      <c r="W736">
        <v>588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1582</v>
      </c>
    </row>
    <row r="737" spans="1:30" x14ac:dyDescent="0.25">
      <c r="H737" t="s">
        <v>1583</v>
      </c>
    </row>
    <row r="738" spans="1:30" x14ac:dyDescent="0.25">
      <c r="A738">
        <v>366</v>
      </c>
      <c r="B738">
        <v>326</v>
      </c>
      <c r="C738" t="s">
        <v>944</v>
      </c>
      <c r="D738" t="s">
        <v>28</v>
      </c>
      <c r="E738" t="s">
        <v>135</v>
      </c>
      <c r="F738" t="s">
        <v>945</v>
      </c>
      <c r="G738" t="str">
        <f>"201411002110"</f>
        <v>201411002110</v>
      </c>
      <c r="H738" t="s">
        <v>946</v>
      </c>
      <c r="I738">
        <v>0</v>
      </c>
      <c r="J738">
        <v>0</v>
      </c>
      <c r="K738">
        <v>0</v>
      </c>
      <c r="L738">
        <v>0</v>
      </c>
      <c r="M738">
        <v>100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63</v>
      </c>
      <c r="W738">
        <v>441</v>
      </c>
      <c r="X738">
        <v>0</v>
      </c>
      <c r="Z738">
        <v>0</v>
      </c>
      <c r="AA738">
        <v>0</v>
      </c>
      <c r="AB738">
        <v>21</v>
      </c>
      <c r="AC738">
        <v>357</v>
      </c>
      <c r="AD738" t="s">
        <v>1582</v>
      </c>
    </row>
    <row r="739" spans="1:30" x14ac:dyDescent="0.25">
      <c r="H739" t="s">
        <v>947</v>
      </c>
    </row>
    <row r="740" spans="1:30" x14ac:dyDescent="0.25">
      <c r="A740">
        <v>367</v>
      </c>
      <c r="B740">
        <v>2225</v>
      </c>
      <c r="C740" t="s">
        <v>1584</v>
      </c>
      <c r="D740" t="s">
        <v>135</v>
      </c>
      <c r="E740" t="s">
        <v>193</v>
      </c>
      <c r="F740" t="s">
        <v>1585</v>
      </c>
      <c r="G740" t="str">
        <f>"200910000108"</f>
        <v>200910000108</v>
      </c>
      <c r="H740" t="s">
        <v>606</v>
      </c>
      <c r="I740">
        <v>0</v>
      </c>
      <c r="J740">
        <v>0</v>
      </c>
      <c r="K740">
        <v>0</v>
      </c>
      <c r="L740">
        <v>200</v>
      </c>
      <c r="M740">
        <v>0</v>
      </c>
      <c r="N740">
        <v>70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76</v>
      </c>
      <c r="W740">
        <v>532</v>
      </c>
      <c r="X740">
        <v>0</v>
      </c>
      <c r="Z740">
        <v>0</v>
      </c>
      <c r="AA740">
        <v>0</v>
      </c>
      <c r="AB740">
        <v>8</v>
      </c>
      <c r="AC740">
        <v>136</v>
      </c>
      <c r="AD740" t="s">
        <v>1586</v>
      </c>
    </row>
    <row r="741" spans="1:30" x14ac:dyDescent="0.25">
      <c r="H741" t="s">
        <v>1587</v>
      </c>
    </row>
    <row r="742" spans="1:30" x14ac:dyDescent="0.25">
      <c r="A742">
        <v>368</v>
      </c>
      <c r="B742">
        <v>2423</v>
      </c>
      <c r="C742" t="s">
        <v>1588</v>
      </c>
      <c r="D742" t="s">
        <v>593</v>
      </c>
      <c r="E742" t="s">
        <v>148</v>
      </c>
      <c r="F742" t="s">
        <v>1589</v>
      </c>
      <c r="G742" t="str">
        <f>"00010876"</f>
        <v>00010876</v>
      </c>
      <c r="H742" t="s">
        <v>677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30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60</v>
      </c>
      <c r="W742">
        <v>420</v>
      </c>
      <c r="X742">
        <v>0</v>
      </c>
      <c r="Z742">
        <v>0</v>
      </c>
      <c r="AA742">
        <v>0</v>
      </c>
      <c r="AB742">
        <v>24</v>
      </c>
      <c r="AC742">
        <v>408</v>
      </c>
      <c r="AD742" t="s">
        <v>1590</v>
      </c>
    </row>
    <row r="743" spans="1:30" x14ac:dyDescent="0.25">
      <c r="H743" t="s">
        <v>1591</v>
      </c>
    </row>
    <row r="744" spans="1:30" x14ac:dyDescent="0.25">
      <c r="A744">
        <v>369</v>
      </c>
      <c r="B744">
        <v>56</v>
      </c>
      <c r="C744" t="s">
        <v>1592</v>
      </c>
      <c r="D744" t="s">
        <v>14</v>
      </c>
      <c r="E744" t="s">
        <v>780</v>
      </c>
      <c r="F744" t="s">
        <v>1593</v>
      </c>
      <c r="G744" t="str">
        <f>"200802007403"</f>
        <v>200802007403</v>
      </c>
      <c r="H744" t="s">
        <v>30</v>
      </c>
      <c r="I744">
        <v>0</v>
      </c>
      <c r="J744">
        <v>0</v>
      </c>
      <c r="K744">
        <v>0</v>
      </c>
      <c r="L744">
        <v>200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84</v>
      </c>
      <c r="W744">
        <v>588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1594</v>
      </c>
    </row>
    <row r="745" spans="1:30" x14ac:dyDescent="0.25">
      <c r="H745" t="s">
        <v>1595</v>
      </c>
    </row>
    <row r="746" spans="1:30" x14ac:dyDescent="0.25">
      <c r="A746">
        <v>370</v>
      </c>
      <c r="B746">
        <v>3785</v>
      </c>
      <c r="C746" t="s">
        <v>1596</v>
      </c>
      <c r="D746" t="s">
        <v>1597</v>
      </c>
      <c r="E746" t="s">
        <v>1598</v>
      </c>
      <c r="F746" t="s">
        <v>1599</v>
      </c>
      <c r="G746" t="str">
        <f>"201504000216"</f>
        <v>201504000216</v>
      </c>
      <c r="H746" t="s">
        <v>348</v>
      </c>
      <c r="I746">
        <v>0</v>
      </c>
      <c r="J746">
        <v>0</v>
      </c>
      <c r="K746">
        <v>0</v>
      </c>
      <c r="L746">
        <v>200</v>
      </c>
      <c r="M746">
        <v>0</v>
      </c>
      <c r="N746">
        <v>70</v>
      </c>
      <c r="O746">
        <v>50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84</v>
      </c>
      <c r="W746">
        <v>588</v>
      </c>
      <c r="X746">
        <v>0</v>
      </c>
      <c r="Z746">
        <v>0</v>
      </c>
      <c r="AA746">
        <v>0</v>
      </c>
      <c r="AB746">
        <v>0</v>
      </c>
      <c r="AC746">
        <v>0</v>
      </c>
      <c r="AD746" t="s">
        <v>1600</v>
      </c>
    </row>
    <row r="747" spans="1:30" x14ac:dyDescent="0.25">
      <c r="H747" t="s">
        <v>1601</v>
      </c>
    </row>
    <row r="748" spans="1:30" x14ac:dyDescent="0.25">
      <c r="A748">
        <v>371</v>
      </c>
      <c r="B748">
        <v>2232</v>
      </c>
      <c r="C748" t="s">
        <v>1602</v>
      </c>
      <c r="D748" t="s">
        <v>135</v>
      </c>
      <c r="E748" t="s">
        <v>77</v>
      </c>
      <c r="F748" t="s">
        <v>1603</v>
      </c>
      <c r="G748" t="str">
        <f>"00336204"</f>
        <v>00336204</v>
      </c>
      <c r="H748" t="s">
        <v>348</v>
      </c>
      <c r="I748">
        <v>0</v>
      </c>
      <c r="J748">
        <v>0</v>
      </c>
      <c r="K748">
        <v>0</v>
      </c>
      <c r="L748">
        <v>200</v>
      </c>
      <c r="M748">
        <v>0</v>
      </c>
      <c r="N748">
        <v>70</v>
      </c>
      <c r="O748">
        <v>0</v>
      </c>
      <c r="P748">
        <v>50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84</v>
      </c>
      <c r="W748">
        <v>588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1600</v>
      </c>
    </row>
    <row r="749" spans="1:30" x14ac:dyDescent="0.25">
      <c r="H749" t="s">
        <v>1304</v>
      </c>
    </row>
    <row r="750" spans="1:30" x14ac:dyDescent="0.25">
      <c r="A750">
        <v>372</v>
      </c>
      <c r="B750">
        <v>5285</v>
      </c>
      <c r="C750" t="s">
        <v>1604</v>
      </c>
      <c r="D750" t="s">
        <v>28</v>
      </c>
      <c r="E750" t="s">
        <v>225</v>
      </c>
      <c r="F750" t="s">
        <v>1605</v>
      </c>
      <c r="G750" t="str">
        <f>"201412006748"</f>
        <v>201412006748</v>
      </c>
      <c r="H750" t="s">
        <v>737</v>
      </c>
      <c r="I750">
        <v>0</v>
      </c>
      <c r="J750">
        <v>0</v>
      </c>
      <c r="K750">
        <v>0</v>
      </c>
      <c r="L750">
        <v>200</v>
      </c>
      <c r="M750">
        <v>0</v>
      </c>
      <c r="N750">
        <v>50</v>
      </c>
      <c r="O750">
        <v>30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33</v>
      </c>
      <c r="W750">
        <v>231</v>
      </c>
      <c r="X750">
        <v>0</v>
      </c>
      <c r="Z750">
        <v>0</v>
      </c>
      <c r="AA750">
        <v>0</v>
      </c>
      <c r="AB750">
        <v>24</v>
      </c>
      <c r="AC750">
        <v>408</v>
      </c>
      <c r="AD750" t="s">
        <v>1600</v>
      </c>
    </row>
    <row r="751" spans="1:30" x14ac:dyDescent="0.25">
      <c r="H751" t="s">
        <v>1606</v>
      </c>
    </row>
    <row r="752" spans="1:30" x14ac:dyDescent="0.25">
      <c r="A752">
        <v>373</v>
      </c>
      <c r="B752">
        <v>4025</v>
      </c>
      <c r="C752" t="s">
        <v>1607</v>
      </c>
      <c r="D752" t="s">
        <v>89</v>
      </c>
      <c r="E752" t="s">
        <v>780</v>
      </c>
      <c r="F752" t="s">
        <v>1608</v>
      </c>
      <c r="G752" t="str">
        <f>"00039737"</f>
        <v>00039737</v>
      </c>
      <c r="H752" t="s">
        <v>190</v>
      </c>
      <c r="I752">
        <v>0</v>
      </c>
      <c r="J752">
        <v>0</v>
      </c>
      <c r="K752">
        <v>0</v>
      </c>
      <c r="L752">
        <v>200</v>
      </c>
      <c r="M752">
        <v>0</v>
      </c>
      <c r="N752">
        <v>50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82</v>
      </c>
      <c r="W752">
        <v>574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1609</v>
      </c>
    </row>
    <row r="753" spans="1:30" x14ac:dyDescent="0.25">
      <c r="H753" t="s">
        <v>1610</v>
      </c>
    </row>
    <row r="754" spans="1:30" x14ac:dyDescent="0.25">
      <c r="A754">
        <v>374</v>
      </c>
      <c r="B754">
        <v>2971</v>
      </c>
      <c r="C754" t="s">
        <v>1611</v>
      </c>
      <c r="D754" t="s">
        <v>357</v>
      </c>
      <c r="E754" t="s">
        <v>42</v>
      </c>
      <c r="F754" t="s">
        <v>1612</v>
      </c>
      <c r="G754" t="str">
        <f>"201504004803"</f>
        <v>201504004803</v>
      </c>
      <c r="H754" t="s">
        <v>624</v>
      </c>
      <c r="I754">
        <v>0</v>
      </c>
      <c r="J754">
        <v>0</v>
      </c>
      <c r="K754">
        <v>0</v>
      </c>
      <c r="L754">
        <v>200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84</v>
      </c>
      <c r="W754">
        <v>588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1613</v>
      </c>
    </row>
    <row r="755" spans="1:30" x14ac:dyDescent="0.25">
      <c r="H755">
        <v>1079</v>
      </c>
    </row>
    <row r="756" spans="1:30" x14ac:dyDescent="0.25">
      <c r="A756">
        <v>375</v>
      </c>
      <c r="B756">
        <v>5344</v>
      </c>
      <c r="C756" t="s">
        <v>1614</v>
      </c>
      <c r="D756" t="s">
        <v>1615</v>
      </c>
      <c r="E756" t="s">
        <v>103</v>
      </c>
      <c r="F756" t="s">
        <v>1616</v>
      </c>
      <c r="G756" t="str">
        <f>"201411000568"</f>
        <v>201411000568</v>
      </c>
      <c r="H756" t="s">
        <v>624</v>
      </c>
      <c r="I756">
        <v>0</v>
      </c>
      <c r="J756">
        <v>0</v>
      </c>
      <c r="K756">
        <v>0</v>
      </c>
      <c r="L756">
        <v>200</v>
      </c>
      <c r="M756">
        <v>0</v>
      </c>
      <c r="N756">
        <v>70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84</v>
      </c>
      <c r="W756">
        <v>588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1613</v>
      </c>
    </row>
    <row r="757" spans="1:30" x14ac:dyDescent="0.25">
      <c r="H757">
        <v>1086</v>
      </c>
    </row>
    <row r="758" spans="1:30" x14ac:dyDescent="0.25">
      <c r="A758">
        <v>376</v>
      </c>
      <c r="B758">
        <v>2800</v>
      </c>
      <c r="C758" t="s">
        <v>1617</v>
      </c>
      <c r="D758" t="s">
        <v>148</v>
      </c>
      <c r="E758" t="s">
        <v>136</v>
      </c>
      <c r="F758" t="s">
        <v>1618</v>
      </c>
      <c r="G758" t="str">
        <f>"00217893"</f>
        <v>00217893</v>
      </c>
      <c r="H758" t="s">
        <v>61</v>
      </c>
      <c r="I758">
        <v>0</v>
      </c>
      <c r="J758">
        <v>0</v>
      </c>
      <c r="K758">
        <v>0</v>
      </c>
      <c r="L758">
        <v>200</v>
      </c>
      <c r="M758">
        <v>0</v>
      </c>
      <c r="N758">
        <v>50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1619</v>
      </c>
    </row>
    <row r="759" spans="1:30" x14ac:dyDescent="0.25">
      <c r="H759">
        <v>1078</v>
      </c>
    </row>
    <row r="760" spans="1:30" x14ac:dyDescent="0.25">
      <c r="A760">
        <v>377</v>
      </c>
      <c r="B760">
        <v>2934</v>
      </c>
      <c r="C760" t="s">
        <v>1620</v>
      </c>
      <c r="D760" t="s">
        <v>1270</v>
      </c>
      <c r="E760" t="s">
        <v>203</v>
      </c>
      <c r="F760" t="s">
        <v>1621</v>
      </c>
      <c r="G760" t="str">
        <f>"00357838"</f>
        <v>00357838</v>
      </c>
      <c r="H760" t="s">
        <v>1282</v>
      </c>
      <c r="I760">
        <v>0</v>
      </c>
      <c r="J760">
        <v>0</v>
      </c>
      <c r="K760">
        <v>0</v>
      </c>
      <c r="L760">
        <v>200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30</v>
      </c>
      <c r="S760">
        <v>0</v>
      </c>
      <c r="T760">
        <v>0</v>
      </c>
      <c r="U760">
        <v>0</v>
      </c>
      <c r="V760">
        <v>84</v>
      </c>
      <c r="W760">
        <v>588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1622</v>
      </c>
    </row>
    <row r="761" spans="1:30" x14ac:dyDescent="0.25">
      <c r="H761" t="s">
        <v>1623</v>
      </c>
    </row>
    <row r="762" spans="1:30" x14ac:dyDescent="0.25">
      <c r="A762">
        <v>378</v>
      </c>
      <c r="B762">
        <v>3238</v>
      </c>
      <c r="C762" t="s">
        <v>1624</v>
      </c>
      <c r="D762" t="s">
        <v>1625</v>
      </c>
      <c r="E762" t="s">
        <v>1626</v>
      </c>
      <c r="F762" t="s">
        <v>1627</v>
      </c>
      <c r="G762" t="str">
        <f>"201504005199"</f>
        <v>201504005199</v>
      </c>
      <c r="H762" t="s">
        <v>1628</v>
      </c>
      <c r="I762">
        <v>0</v>
      </c>
      <c r="J762">
        <v>0</v>
      </c>
      <c r="K762">
        <v>0</v>
      </c>
      <c r="L762">
        <v>200</v>
      </c>
      <c r="M762">
        <v>30</v>
      </c>
      <c r="N762">
        <v>70</v>
      </c>
      <c r="O762">
        <v>70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84</v>
      </c>
      <c r="W762">
        <v>588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1622</v>
      </c>
    </row>
    <row r="763" spans="1:30" x14ac:dyDescent="0.25">
      <c r="H763" t="s">
        <v>1629</v>
      </c>
    </row>
    <row r="764" spans="1:30" x14ac:dyDescent="0.25">
      <c r="A764">
        <v>379</v>
      </c>
      <c r="B764">
        <v>2461</v>
      </c>
      <c r="C764" t="s">
        <v>1630</v>
      </c>
      <c r="D764" t="s">
        <v>174</v>
      </c>
      <c r="E764" t="s">
        <v>77</v>
      </c>
      <c r="F764" t="s">
        <v>1631</v>
      </c>
      <c r="G764" t="str">
        <f>"00358486"</f>
        <v>00358486</v>
      </c>
      <c r="H764" t="s">
        <v>483</v>
      </c>
      <c r="I764">
        <v>0</v>
      </c>
      <c r="J764">
        <v>0</v>
      </c>
      <c r="K764">
        <v>0</v>
      </c>
      <c r="L764">
        <v>200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1632</v>
      </c>
    </row>
    <row r="765" spans="1:30" x14ac:dyDescent="0.25">
      <c r="H765">
        <v>1086</v>
      </c>
    </row>
    <row r="766" spans="1:30" x14ac:dyDescent="0.25">
      <c r="A766">
        <v>380</v>
      </c>
      <c r="B766">
        <v>3906</v>
      </c>
      <c r="C766" t="s">
        <v>1633</v>
      </c>
      <c r="D766" t="s">
        <v>89</v>
      </c>
      <c r="E766" t="s">
        <v>435</v>
      </c>
      <c r="F766" t="s">
        <v>1634</v>
      </c>
      <c r="G766" t="str">
        <f>"00337601"</f>
        <v>00337601</v>
      </c>
      <c r="H766" t="s">
        <v>110</v>
      </c>
      <c r="I766">
        <v>0</v>
      </c>
      <c r="J766">
        <v>0</v>
      </c>
      <c r="K766">
        <v>0</v>
      </c>
      <c r="L766">
        <v>200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84</v>
      </c>
      <c r="W766">
        <v>588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1635</v>
      </c>
    </row>
    <row r="767" spans="1:30" x14ac:dyDescent="0.25">
      <c r="H767" t="s">
        <v>1497</v>
      </c>
    </row>
    <row r="768" spans="1:30" x14ac:dyDescent="0.25">
      <c r="A768">
        <v>381</v>
      </c>
      <c r="B768">
        <v>1399</v>
      </c>
      <c r="C768" t="s">
        <v>1636</v>
      </c>
      <c r="D768" t="s">
        <v>89</v>
      </c>
      <c r="E768" t="s">
        <v>148</v>
      </c>
      <c r="F768" t="s">
        <v>1637</v>
      </c>
      <c r="G768" t="str">
        <f>"00025543"</f>
        <v>00025543</v>
      </c>
      <c r="H768" t="s">
        <v>1164</v>
      </c>
      <c r="I768">
        <v>0</v>
      </c>
      <c r="J768">
        <v>0</v>
      </c>
      <c r="K768">
        <v>0</v>
      </c>
      <c r="L768">
        <v>200</v>
      </c>
      <c r="M768">
        <v>0</v>
      </c>
      <c r="N768">
        <v>70</v>
      </c>
      <c r="O768">
        <v>30</v>
      </c>
      <c r="P768">
        <v>0</v>
      </c>
      <c r="Q768">
        <v>0</v>
      </c>
      <c r="R768">
        <v>30</v>
      </c>
      <c r="S768">
        <v>0</v>
      </c>
      <c r="T768">
        <v>0</v>
      </c>
      <c r="U768">
        <v>0</v>
      </c>
      <c r="V768">
        <v>76</v>
      </c>
      <c r="W768">
        <v>532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1635</v>
      </c>
    </row>
    <row r="769" spans="1:30" x14ac:dyDescent="0.25">
      <c r="H769" t="s">
        <v>1638</v>
      </c>
    </row>
    <row r="770" spans="1:30" x14ac:dyDescent="0.25">
      <c r="A770">
        <v>382</v>
      </c>
      <c r="B770">
        <v>1364</v>
      </c>
      <c r="C770" t="s">
        <v>1639</v>
      </c>
      <c r="D770" t="s">
        <v>1640</v>
      </c>
      <c r="E770" t="s">
        <v>42</v>
      </c>
      <c r="F770" t="s">
        <v>1641</v>
      </c>
      <c r="G770" t="str">
        <f>"00260163"</f>
        <v>00260163</v>
      </c>
      <c r="H770">
        <v>836</v>
      </c>
      <c r="I770">
        <v>0</v>
      </c>
      <c r="J770">
        <v>0</v>
      </c>
      <c r="K770">
        <v>0</v>
      </c>
      <c r="L770">
        <v>200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84</v>
      </c>
      <c r="W770">
        <v>588</v>
      </c>
      <c r="X770">
        <v>0</v>
      </c>
      <c r="Z770">
        <v>0</v>
      </c>
      <c r="AA770">
        <v>0</v>
      </c>
      <c r="AB770">
        <v>0</v>
      </c>
      <c r="AC770">
        <v>0</v>
      </c>
      <c r="AD770">
        <v>1654</v>
      </c>
    </row>
    <row r="771" spans="1:30" x14ac:dyDescent="0.25">
      <c r="H771">
        <v>1089</v>
      </c>
    </row>
    <row r="772" spans="1:30" x14ac:dyDescent="0.25">
      <c r="A772">
        <v>383</v>
      </c>
      <c r="B772">
        <v>3979</v>
      </c>
      <c r="C772" t="s">
        <v>1642</v>
      </c>
      <c r="D772" t="s">
        <v>42</v>
      </c>
      <c r="E772" t="s">
        <v>435</v>
      </c>
      <c r="F772" t="s">
        <v>1643</v>
      </c>
      <c r="G772" t="str">
        <f>"200802011996"</f>
        <v>200802011996</v>
      </c>
      <c r="H772" t="s">
        <v>901</v>
      </c>
      <c r="I772">
        <v>0</v>
      </c>
      <c r="J772">
        <v>0</v>
      </c>
      <c r="K772">
        <v>0</v>
      </c>
      <c r="L772">
        <v>260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84</v>
      </c>
      <c r="W772">
        <v>588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1644</v>
      </c>
    </row>
    <row r="773" spans="1:30" x14ac:dyDescent="0.25">
      <c r="H773">
        <v>1079</v>
      </c>
    </row>
    <row r="774" spans="1:30" x14ac:dyDescent="0.25">
      <c r="A774">
        <v>384</v>
      </c>
      <c r="B774">
        <v>3967</v>
      </c>
      <c r="C774" t="s">
        <v>1645</v>
      </c>
      <c r="D774" t="s">
        <v>1646</v>
      </c>
      <c r="E774" t="s">
        <v>731</v>
      </c>
      <c r="F774" t="s">
        <v>1647</v>
      </c>
      <c r="G774" t="str">
        <f>"00023274"</f>
        <v>00023274</v>
      </c>
      <c r="H774" t="s">
        <v>176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84</v>
      </c>
      <c r="W774">
        <v>588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1648</v>
      </c>
    </row>
    <row r="775" spans="1:30" x14ac:dyDescent="0.25">
      <c r="H775" t="s">
        <v>1649</v>
      </c>
    </row>
    <row r="776" spans="1:30" x14ac:dyDescent="0.25">
      <c r="A776">
        <v>385</v>
      </c>
      <c r="B776">
        <v>2163</v>
      </c>
      <c r="C776" t="s">
        <v>1650</v>
      </c>
      <c r="D776" t="s">
        <v>1651</v>
      </c>
      <c r="E776" t="s">
        <v>135</v>
      </c>
      <c r="F776" t="s">
        <v>1652</v>
      </c>
      <c r="G776" t="str">
        <f>"201406015470"</f>
        <v>201406015470</v>
      </c>
      <c r="H776" t="s">
        <v>1146</v>
      </c>
      <c r="I776">
        <v>0</v>
      </c>
      <c r="J776">
        <v>0</v>
      </c>
      <c r="K776">
        <v>0</v>
      </c>
      <c r="L776">
        <v>260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76</v>
      </c>
      <c r="W776">
        <v>532</v>
      </c>
      <c r="X776">
        <v>0</v>
      </c>
      <c r="Z776">
        <v>0</v>
      </c>
      <c r="AA776">
        <v>0</v>
      </c>
      <c r="AB776">
        <v>8</v>
      </c>
      <c r="AC776">
        <v>136</v>
      </c>
      <c r="AD776" t="s">
        <v>1653</v>
      </c>
    </row>
    <row r="777" spans="1:30" x14ac:dyDescent="0.25">
      <c r="H777" t="s">
        <v>1654</v>
      </c>
    </row>
    <row r="778" spans="1:30" x14ac:dyDescent="0.25">
      <c r="A778">
        <v>386</v>
      </c>
      <c r="B778">
        <v>3195</v>
      </c>
      <c r="C778" t="s">
        <v>1655</v>
      </c>
      <c r="D778" t="s">
        <v>108</v>
      </c>
      <c r="E778" t="s">
        <v>59</v>
      </c>
      <c r="F778" t="s">
        <v>1656</v>
      </c>
      <c r="G778" t="str">
        <f>"201504003492"</f>
        <v>201504003492</v>
      </c>
      <c r="H778" t="s">
        <v>375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70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60</v>
      </c>
      <c r="W778">
        <v>420</v>
      </c>
      <c r="X778">
        <v>0</v>
      </c>
      <c r="Z778">
        <v>0</v>
      </c>
      <c r="AA778">
        <v>0</v>
      </c>
      <c r="AB778">
        <v>24</v>
      </c>
      <c r="AC778">
        <v>408</v>
      </c>
      <c r="AD778" t="s">
        <v>1657</v>
      </c>
    </row>
    <row r="779" spans="1:30" x14ac:dyDescent="0.25">
      <c r="H779" t="s">
        <v>1658</v>
      </c>
    </row>
    <row r="780" spans="1:30" x14ac:dyDescent="0.25">
      <c r="A780">
        <v>387</v>
      </c>
      <c r="B780">
        <v>4739</v>
      </c>
      <c r="C780" t="s">
        <v>1659</v>
      </c>
      <c r="D780" t="s">
        <v>1660</v>
      </c>
      <c r="E780" t="s">
        <v>1661</v>
      </c>
      <c r="F780" t="s">
        <v>1662</v>
      </c>
      <c r="G780" t="str">
        <f>"00346153"</f>
        <v>00346153</v>
      </c>
      <c r="H780" t="s">
        <v>244</v>
      </c>
      <c r="I780">
        <v>0</v>
      </c>
      <c r="J780">
        <v>0</v>
      </c>
      <c r="K780">
        <v>0</v>
      </c>
      <c r="L780">
        <v>200</v>
      </c>
      <c r="M780">
        <v>0</v>
      </c>
      <c r="N780">
        <v>70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1663</v>
      </c>
    </row>
    <row r="781" spans="1:30" x14ac:dyDescent="0.25">
      <c r="H781" t="s">
        <v>1664</v>
      </c>
    </row>
    <row r="782" spans="1:30" x14ac:dyDescent="0.25">
      <c r="A782">
        <v>388</v>
      </c>
      <c r="B782">
        <v>1202</v>
      </c>
      <c r="C782" t="s">
        <v>1665</v>
      </c>
      <c r="D782" t="s">
        <v>1666</v>
      </c>
      <c r="E782" t="s">
        <v>203</v>
      </c>
      <c r="F782" t="s">
        <v>1667</v>
      </c>
      <c r="G782" t="str">
        <f>"200801002120"</f>
        <v>200801002120</v>
      </c>
      <c r="H782">
        <v>814</v>
      </c>
      <c r="I782">
        <v>0</v>
      </c>
      <c r="J782">
        <v>0</v>
      </c>
      <c r="K782">
        <v>0</v>
      </c>
      <c r="L782">
        <v>200</v>
      </c>
      <c r="M782">
        <v>0</v>
      </c>
      <c r="N782">
        <v>50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84</v>
      </c>
      <c r="W782">
        <v>588</v>
      </c>
      <c r="X782">
        <v>0</v>
      </c>
      <c r="Z782">
        <v>0</v>
      </c>
      <c r="AA782">
        <v>0</v>
      </c>
      <c r="AB782">
        <v>0</v>
      </c>
      <c r="AC782">
        <v>0</v>
      </c>
      <c r="AD782">
        <v>1652</v>
      </c>
    </row>
    <row r="783" spans="1:30" x14ac:dyDescent="0.25">
      <c r="H783">
        <v>1072</v>
      </c>
    </row>
    <row r="784" spans="1:30" x14ac:dyDescent="0.25">
      <c r="A784">
        <v>389</v>
      </c>
      <c r="B784">
        <v>250</v>
      </c>
      <c r="C784" t="s">
        <v>1668</v>
      </c>
      <c r="D784" t="s">
        <v>408</v>
      </c>
      <c r="E784" t="s">
        <v>28</v>
      </c>
      <c r="F784" t="s">
        <v>1669</v>
      </c>
      <c r="G784" t="str">
        <f>"200803000598"</f>
        <v>200803000598</v>
      </c>
      <c r="H784" t="s">
        <v>190</v>
      </c>
      <c r="I784">
        <v>0</v>
      </c>
      <c r="J784">
        <v>0</v>
      </c>
      <c r="K784">
        <v>0</v>
      </c>
      <c r="L784">
        <v>200</v>
      </c>
      <c r="M784">
        <v>0</v>
      </c>
      <c r="N784">
        <v>30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84</v>
      </c>
      <c r="W784">
        <v>588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1670</v>
      </c>
    </row>
    <row r="785" spans="1:30" x14ac:dyDescent="0.25">
      <c r="H785" t="s">
        <v>1671</v>
      </c>
    </row>
    <row r="786" spans="1:30" x14ac:dyDescent="0.25">
      <c r="A786">
        <v>390</v>
      </c>
      <c r="B786">
        <v>3930</v>
      </c>
      <c r="C786" t="s">
        <v>1672</v>
      </c>
      <c r="D786" t="s">
        <v>1673</v>
      </c>
      <c r="E786" t="s">
        <v>28</v>
      </c>
      <c r="F786" t="s">
        <v>1674</v>
      </c>
      <c r="G786" t="str">
        <f>"00276051"</f>
        <v>00276051</v>
      </c>
      <c r="H786" t="s">
        <v>1675</v>
      </c>
      <c r="I786">
        <v>0</v>
      </c>
      <c r="J786">
        <v>0</v>
      </c>
      <c r="K786">
        <v>0</v>
      </c>
      <c r="L786">
        <v>200</v>
      </c>
      <c r="M786">
        <v>0</v>
      </c>
      <c r="N786">
        <v>30</v>
      </c>
      <c r="O786">
        <v>0</v>
      </c>
      <c r="P786">
        <v>70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84</v>
      </c>
      <c r="W786">
        <v>588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1676</v>
      </c>
    </row>
    <row r="787" spans="1:30" x14ac:dyDescent="0.25">
      <c r="H787" t="s">
        <v>32</v>
      </c>
    </row>
    <row r="788" spans="1:30" x14ac:dyDescent="0.25">
      <c r="A788">
        <v>391</v>
      </c>
      <c r="B788">
        <v>3605</v>
      </c>
      <c r="C788" t="s">
        <v>1677</v>
      </c>
      <c r="D788" t="s">
        <v>506</v>
      </c>
      <c r="E788" t="s">
        <v>42</v>
      </c>
      <c r="F788" t="s">
        <v>1678</v>
      </c>
      <c r="G788" t="str">
        <f>"200801003753"</f>
        <v>200801003753</v>
      </c>
      <c r="H788" t="s">
        <v>813</v>
      </c>
      <c r="I788">
        <v>0</v>
      </c>
      <c r="J788">
        <v>0</v>
      </c>
      <c r="K788">
        <v>0</v>
      </c>
      <c r="L788">
        <v>260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84</v>
      </c>
      <c r="W788">
        <v>588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1679</v>
      </c>
    </row>
    <row r="789" spans="1:30" x14ac:dyDescent="0.25">
      <c r="H789" t="s">
        <v>1680</v>
      </c>
    </row>
    <row r="790" spans="1:30" x14ac:dyDescent="0.25">
      <c r="A790">
        <v>392</v>
      </c>
      <c r="B790">
        <v>3795</v>
      </c>
      <c r="C790" t="s">
        <v>1681</v>
      </c>
      <c r="D790" t="s">
        <v>293</v>
      </c>
      <c r="E790" t="s">
        <v>702</v>
      </c>
      <c r="F790" t="s">
        <v>1682</v>
      </c>
      <c r="G790" t="str">
        <f>"00367636"</f>
        <v>00367636</v>
      </c>
      <c r="H790" t="s">
        <v>980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30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84</v>
      </c>
      <c r="W790">
        <v>588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1683</v>
      </c>
    </row>
    <row r="791" spans="1:30" x14ac:dyDescent="0.25">
      <c r="H791" t="s">
        <v>32</v>
      </c>
    </row>
    <row r="792" spans="1:30" x14ac:dyDescent="0.25">
      <c r="A792">
        <v>393</v>
      </c>
      <c r="B792">
        <v>3004</v>
      </c>
      <c r="C792" t="s">
        <v>1684</v>
      </c>
      <c r="D792" t="s">
        <v>135</v>
      </c>
      <c r="E792" t="s">
        <v>579</v>
      </c>
      <c r="F792" t="s">
        <v>1685</v>
      </c>
      <c r="G792" t="str">
        <f>"00159195"</f>
        <v>00159195</v>
      </c>
      <c r="H792" t="s">
        <v>215</v>
      </c>
      <c r="I792">
        <v>0</v>
      </c>
      <c r="J792">
        <v>0</v>
      </c>
      <c r="K792">
        <v>0</v>
      </c>
      <c r="L792">
        <v>200</v>
      </c>
      <c r="M792">
        <v>0</v>
      </c>
      <c r="N792">
        <v>0</v>
      </c>
      <c r="O792">
        <v>0</v>
      </c>
      <c r="P792">
        <v>0</v>
      </c>
      <c r="Q792">
        <v>70</v>
      </c>
      <c r="R792">
        <v>0</v>
      </c>
      <c r="S792">
        <v>0</v>
      </c>
      <c r="T792">
        <v>0</v>
      </c>
      <c r="U792">
        <v>0</v>
      </c>
      <c r="V792">
        <v>80</v>
      </c>
      <c r="W792">
        <v>560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1686</v>
      </c>
    </row>
    <row r="793" spans="1:30" x14ac:dyDescent="0.25">
      <c r="H793" t="s">
        <v>1687</v>
      </c>
    </row>
    <row r="794" spans="1:30" x14ac:dyDescent="0.25">
      <c r="A794">
        <v>394</v>
      </c>
      <c r="B794">
        <v>3340</v>
      </c>
      <c r="C794" t="s">
        <v>1688</v>
      </c>
      <c r="D794" t="s">
        <v>293</v>
      </c>
      <c r="E794" t="s">
        <v>435</v>
      </c>
      <c r="F794" t="s">
        <v>1689</v>
      </c>
      <c r="G794" t="str">
        <f>"00206650"</f>
        <v>00206650</v>
      </c>
      <c r="H794" t="s">
        <v>302</v>
      </c>
      <c r="I794">
        <v>0</v>
      </c>
      <c r="J794">
        <v>0</v>
      </c>
      <c r="K794">
        <v>0</v>
      </c>
      <c r="L794">
        <v>200</v>
      </c>
      <c r="M794">
        <v>0</v>
      </c>
      <c r="N794">
        <v>70</v>
      </c>
      <c r="O794">
        <v>0</v>
      </c>
      <c r="P794">
        <v>0</v>
      </c>
      <c r="Q794">
        <v>0</v>
      </c>
      <c r="R794">
        <v>30</v>
      </c>
      <c r="S794">
        <v>0</v>
      </c>
      <c r="T794">
        <v>0</v>
      </c>
      <c r="U794">
        <v>0</v>
      </c>
      <c r="V794">
        <v>76</v>
      </c>
      <c r="W794">
        <v>532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1690</v>
      </c>
    </row>
    <row r="795" spans="1:30" x14ac:dyDescent="0.25">
      <c r="H795" t="s">
        <v>1691</v>
      </c>
    </row>
    <row r="796" spans="1:30" x14ac:dyDescent="0.25">
      <c r="A796">
        <v>395</v>
      </c>
      <c r="B796">
        <v>1623</v>
      </c>
      <c r="C796" t="s">
        <v>1692</v>
      </c>
      <c r="D796" t="s">
        <v>59</v>
      </c>
      <c r="E796" t="s">
        <v>435</v>
      </c>
      <c r="F796" t="s">
        <v>1693</v>
      </c>
      <c r="G796" t="str">
        <f>"00184390"</f>
        <v>00184390</v>
      </c>
      <c r="H796" t="s">
        <v>1694</v>
      </c>
      <c r="I796">
        <v>0</v>
      </c>
      <c r="J796">
        <v>0</v>
      </c>
      <c r="K796">
        <v>0</v>
      </c>
      <c r="L796">
        <v>0</v>
      </c>
      <c r="M796">
        <v>100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60</v>
      </c>
      <c r="W796">
        <v>420</v>
      </c>
      <c r="X796">
        <v>0</v>
      </c>
      <c r="Z796">
        <v>0</v>
      </c>
      <c r="AA796">
        <v>0</v>
      </c>
      <c r="AB796">
        <v>24</v>
      </c>
      <c r="AC796">
        <v>408</v>
      </c>
      <c r="AD796" t="s">
        <v>1695</v>
      </c>
    </row>
    <row r="797" spans="1:30" x14ac:dyDescent="0.25">
      <c r="H797" t="s">
        <v>1696</v>
      </c>
    </row>
    <row r="798" spans="1:30" x14ac:dyDescent="0.25">
      <c r="A798">
        <v>396</v>
      </c>
      <c r="B798">
        <v>3936</v>
      </c>
      <c r="C798" t="s">
        <v>1697</v>
      </c>
      <c r="D798" t="s">
        <v>65</v>
      </c>
      <c r="E798" t="s">
        <v>148</v>
      </c>
      <c r="F798" t="s">
        <v>1698</v>
      </c>
      <c r="G798" t="str">
        <f>"00359604"</f>
        <v>00359604</v>
      </c>
      <c r="H798" t="s">
        <v>916</v>
      </c>
      <c r="I798">
        <v>0</v>
      </c>
      <c r="J798">
        <v>0</v>
      </c>
      <c r="K798">
        <v>0</v>
      </c>
      <c r="L798">
        <v>200</v>
      </c>
      <c r="M798">
        <v>0</v>
      </c>
      <c r="N798">
        <v>70</v>
      </c>
      <c r="O798">
        <v>0</v>
      </c>
      <c r="P798">
        <v>30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84</v>
      </c>
      <c r="W798">
        <v>588</v>
      </c>
      <c r="X798">
        <v>0</v>
      </c>
      <c r="Z798">
        <v>0</v>
      </c>
      <c r="AA798">
        <v>0</v>
      </c>
      <c r="AB798">
        <v>0</v>
      </c>
      <c r="AC798">
        <v>0</v>
      </c>
      <c r="AD798" t="s">
        <v>1699</v>
      </c>
    </row>
    <row r="799" spans="1:30" x14ac:dyDescent="0.25">
      <c r="H799" t="s">
        <v>1700</v>
      </c>
    </row>
    <row r="800" spans="1:30" x14ac:dyDescent="0.25">
      <c r="A800">
        <v>397</v>
      </c>
      <c r="B800">
        <v>2320</v>
      </c>
      <c r="C800" t="s">
        <v>1701</v>
      </c>
      <c r="D800" t="s">
        <v>225</v>
      </c>
      <c r="E800" t="s">
        <v>702</v>
      </c>
      <c r="F800" t="s">
        <v>1702</v>
      </c>
      <c r="G800" t="str">
        <f>"200802003722"</f>
        <v>200802003722</v>
      </c>
      <c r="H800" t="s">
        <v>138</v>
      </c>
      <c r="I800">
        <v>0</v>
      </c>
      <c r="J800">
        <v>0</v>
      </c>
      <c r="K800">
        <v>0</v>
      </c>
      <c r="L800">
        <v>200</v>
      </c>
      <c r="M800">
        <v>0</v>
      </c>
      <c r="N800">
        <v>50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84</v>
      </c>
      <c r="W800">
        <v>588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1703</v>
      </c>
    </row>
    <row r="801" spans="1:30" x14ac:dyDescent="0.25">
      <c r="H801">
        <v>1086</v>
      </c>
    </row>
    <row r="802" spans="1:30" x14ac:dyDescent="0.25">
      <c r="A802">
        <v>398</v>
      </c>
      <c r="B802">
        <v>3494</v>
      </c>
      <c r="C802" t="s">
        <v>1704</v>
      </c>
      <c r="D802" t="s">
        <v>637</v>
      </c>
      <c r="E802" t="s">
        <v>1705</v>
      </c>
      <c r="F802" t="s">
        <v>1706</v>
      </c>
      <c r="G802" t="str">
        <f>"200801003355"</f>
        <v>200801003355</v>
      </c>
      <c r="H802" t="s">
        <v>742</v>
      </c>
      <c r="I802">
        <v>0</v>
      </c>
      <c r="J802">
        <v>0</v>
      </c>
      <c r="K802">
        <v>0</v>
      </c>
      <c r="L802">
        <v>200</v>
      </c>
      <c r="M802">
        <v>0</v>
      </c>
      <c r="N802">
        <v>70</v>
      </c>
      <c r="O802">
        <v>0</v>
      </c>
      <c r="P802">
        <v>30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84</v>
      </c>
      <c r="W802">
        <v>588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1707</v>
      </c>
    </row>
    <row r="803" spans="1:30" x14ac:dyDescent="0.25">
      <c r="H803" t="s">
        <v>1708</v>
      </c>
    </row>
    <row r="804" spans="1:30" x14ac:dyDescent="0.25">
      <c r="A804">
        <v>399</v>
      </c>
      <c r="B804">
        <v>778</v>
      </c>
      <c r="C804" t="s">
        <v>1709</v>
      </c>
      <c r="D804" t="s">
        <v>373</v>
      </c>
      <c r="E804" t="s">
        <v>59</v>
      </c>
      <c r="F804" t="s">
        <v>1710</v>
      </c>
      <c r="G804" t="str">
        <f>"201411000206"</f>
        <v>201411000206</v>
      </c>
      <c r="H804" t="s">
        <v>747</v>
      </c>
      <c r="I804">
        <v>0</v>
      </c>
      <c r="J804">
        <v>0</v>
      </c>
      <c r="K804">
        <v>0</v>
      </c>
      <c r="L804">
        <v>200</v>
      </c>
      <c r="M804">
        <v>0</v>
      </c>
      <c r="N804">
        <v>50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84</v>
      </c>
      <c r="W804">
        <v>588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1711</v>
      </c>
    </row>
    <row r="805" spans="1:30" x14ac:dyDescent="0.25">
      <c r="H805" t="s">
        <v>1712</v>
      </c>
    </row>
    <row r="806" spans="1:30" x14ac:dyDescent="0.25">
      <c r="A806">
        <v>400</v>
      </c>
      <c r="B806">
        <v>137</v>
      </c>
      <c r="C806" t="s">
        <v>1713</v>
      </c>
      <c r="D806" t="s">
        <v>89</v>
      </c>
      <c r="E806" t="s">
        <v>108</v>
      </c>
      <c r="F806" t="s">
        <v>1714</v>
      </c>
      <c r="G806" t="str">
        <f>"201504003610"</f>
        <v>201504003610</v>
      </c>
      <c r="H806" t="s">
        <v>115</v>
      </c>
      <c r="I806">
        <v>0</v>
      </c>
      <c r="J806">
        <v>0</v>
      </c>
      <c r="K806">
        <v>0</v>
      </c>
      <c r="L806">
        <v>200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84</v>
      </c>
      <c r="W806">
        <v>588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1715</v>
      </c>
    </row>
    <row r="807" spans="1:30" x14ac:dyDescent="0.25">
      <c r="H807" t="s">
        <v>1716</v>
      </c>
    </row>
    <row r="808" spans="1:30" x14ac:dyDescent="0.25">
      <c r="A808">
        <v>401</v>
      </c>
      <c r="B808">
        <v>4314</v>
      </c>
      <c r="C808" t="s">
        <v>1717</v>
      </c>
      <c r="D808" t="s">
        <v>1718</v>
      </c>
      <c r="E808" t="s">
        <v>59</v>
      </c>
      <c r="F808" t="s">
        <v>1719</v>
      </c>
      <c r="G808" t="str">
        <f>"00231832"</f>
        <v>00231832</v>
      </c>
      <c r="H808" t="s">
        <v>1107</v>
      </c>
      <c r="I808">
        <v>0</v>
      </c>
      <c r="J808">
        <v>0</v>
      </c>
      <c r="K808">
        <v>0</v>
      </c>
      <c r="L808">
        <v>200</v>
      </c>
      <c r="M808">
        <v>0</v>
      </c>
      <c r="N808">
        <v>30</v>
      </c>
      <c r="O808">
        <v>50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80</v>
      </c>
      <c r="W808">
        <v>560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1715</v>
      </c>
    </row>
    <row r="809" spans="1:30" x14ac:dyDescent="0.25">
      <c r="H809" t="s">
        <v>1720</v>
      </c>
    </row>
    <row r="810" spans="1:30" x14ac:dyDescent="0.25">
      <c r="A810">
        <v>402</v>
      </c>
      <c r="B810">
        <v>54</v>
      </c>
      <c r="C810" t="s">
        <v>1721</v>
      </c>
      <c r="D810" t="s">
        <v>327</v>
      </c>
      <c r="E810" t="s">
        <v>300</v>
      </c>
      <c r="F810" t="s">
        <v>1722</v>
      </c>
      <c r="G810" t="str">
        <f>"00294165"</f>
        <v>00294165</v>
      </c>
      <c r="H810" t="s">
        <v>289</v>
      </c>
      <c r="I810">
        <v>0</v>
      </c>
      <c r="J810">
        <v>0</v>
      </c>
      <c r="K810">
        <v>0</v>
      </c>
      <c r="L810">
        <v>200</v>
      </c>
      <c r="M810">
        <v>0</v>
      </c>
      <c r="N810">
        <v>70</v>
      </c>
      <c r="O810">
        <v>30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84</v>
      </c>
      <c r="W810">
        <v>588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1723</v>
      </c>
    </row>
    <row r="811" spans="1:30" x14ac:dyDescent="0.25">
      <c r="H811" t="s">
        <v>1724</v>
      </c>
    </row>
    <row r="812" spans="1:30" x14ac:dyDescent="0.25">
      <c r="A812">
        <v>403</v>
      </c>
      <c r="B812">
        <v>4497</v>
      </c>
      <c r="C812" t="s">
        <v>1725</v>
      </c>
      <c r="D812" t="s">
        <v>1726</v>
      </c>
      <c r="E812" t="s">
        <v>1727</v>
      </c>
      <c r="F812" t="s">
        <v>1728</v>
      </c>
      <c r="G812" t="str">
        <f>"00013232"</f>
        <v>00013232</v>
      </c>
      <c r="H812" t="s">
        <v>901</v>
      </c>
      <c r="I812">
        <v>0</v>
      </c>
      <c r="J812">
        <v>0</v>
      </c>
      <c r="K812">
        <v>0</v>
      </c>
      <c r="L812">
        <v>0</v>
      </c>
      <c r="M812">
        <v>130</v>
      </c>
      <c r="N812">
        <v>70</v>
      </c>
      <c r="O812">
        <v>0</v>
      </c>
      <c r="P812">
        <v>50</v>
      </c>
      <c r="Q812">
        <v>30</v>
      </c>
      <c r="R812">
        <v>0</v>
      </c>
      <c r="S812">
        <v>0</v>
      </c>
      <c r="T812">
        <v>0</v>
      </c>
      <c r="U812">
        <v>0</v>
      </c>
      <c r="V812">
        <v>84</v>
      </c>
      <c r="W812">
        <v>588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1729</v>
      </c>
    </row>
    <row r="813" spans="1:30" x14ac:dyDescent="0.25">
      <c r="H813" t="s">
        <v>1730</v>
      </c>
    </row>
    <row r="814" spans="1:30" x14ac:dyDescent="0.25">
      <c r="A814">
        <v>404</v>
      </c>
      <c r="B814">
        <v>2097</v>
      </c>
      <c r="C814" t="s">
        <v>1731</v>
      </c>
      <c r="D814" t="s">
        <v>1732</v>
      </c>
      <c r="E814" t="s">
        <v>225</v>
      </c>
      <c r="F814" t="s">
        <v>1733</v>
      </c>
      <c r="G814" t="str">
        <f>"201504005380"</f>
        <v>201504005380</v>
      </c>
      <c r="H814" t="s">
        <v>541</v>
      </c>
      <c r="I814">
        <v>0</v>
      </c>
      <c r="J814">
        <v>0</v>
      </c>
      <c r="K814">
        <v>0</v>
      </c>
      <c r="L814">
        <v>0</v>
      </c>
      <c r="M814">
        <v>100</v>
      </c>
      <c r="N814">
        <v>70</v>
      </c>
      <c r="O814">
        <v>30</v>
      </c>
      <c r="P814">
        <v>50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84</v>
      </c>
      <c r="W814">
        <v>588</v>
      </c>
      <c r="X814">
        <v>0</v>
      </c>
      <c r="Z814">
        <v>0</v>
      </c>
      <c r="AA814">
        <v>0</v>
      </c>
      <c r="AB814">
        <v>0</v>
      </c>
      <c r="AC814">
        <v>0</v>
      </c>
      <c r="AD814" t="s">
        <v>1734</v>
      </c>
    </row>
    <row r="815" spans="1:30" x14ac:dyDescent="0.25">
      <c r="H815" t="s">
        <v>1735</v>
      </c>
    </row>
    <row r="816" spans="1:30" x14ac:dyDescent="0.25">
      <c r="A816">
        <v>405</v>
      </c>
      <c r="B816">
        <v>316</v>
      </c>
      <c r="C816" t="s">
        <v>1736</v>
      </c>
      <c r="D816" t="s">
        <v>373</v>
      </c>
      <c r="E816" t="s">
        <v>135</v>
      </c>
      <c r="F816" t="s">
        <v>1737</v>
      </c>
      <c r="G816" t="str">
        <f>"00071078"</f>
        <v>00071078</v>
      </c>
      <c r="H816" t="s">
        <v>244</v>
      </c>
      <c r="I816">
        <v>0</v>
      </c>
      <c r="J816">
        <v>0</v>
      </c>
      <c r="K816">
        <v>0</v>
      </c>
      <c r="L816">
        <v>200</v>
      </c>
      <c r="M816">
        <v>0</v>
      </c>
      <c r="N816">
        <v>30</v>
      </c>
      <c r="O816">
        <v>0</v>
      </c>
      <c r="P816">
        <v>30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84</v>
      </c>
      <c r="W816">
        <v>588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1738</v>
      </c>
    </row>
    <row r="817" spans="1:30" x14ac:dyDescent="0.25">
      <c r="H817" t="s">
        <v>1739</v>
      </c>
    </row>
    <row r="818" spans="1:30" x14ac:dyDescent="0.25">
      <c r="A818">
        <v>406</v>
      </c>
      <c r="B818">
        <v>2209</v>
      </c>
      <c r="C818" t="s">
        <v>1740</v>
      </c>
      <c r="D818" t="s">
        <v>664</v>
      </c>
      <c r="E818" t="s">
        <v>317</v>
      </c>
      <c r="F818" t="s">
        <v>1741</v>
      </c>
      <c r="G818" t="str">
        <f>"201402009788"</f>
        <v>201402009788</v>
      </c>
      <c r="H818" t="s">
        <v>1742</v>
      </c>
      <c r="I818">
        <v>0</v>
      </c>
      <c r="J818">
        <v>0</v>
      </c>
      <c r="K818">
        <v>0</v>
      </c>
      <c r="L818">
        <v>260</v>
      </c>
      <c r="M818">
        <v>0</v>
      </c>
      <c r="N818">
        <v>70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84</v>
      </c>
      <c r="W818">
        <v>588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1743</v>
      </c>
    </row>
    <row r="819" spans="1:30" x14ac:dyDescent="0.25">
      <c r="H819" t="s">
        <v>1744</v>
      </c>
    </row>
    <row r="820" spans="1:30" x14ac:dyDescent="0.25">
      <c r="A820">
        <v>407</v>
      </c>
      <c r="B820">
        <v>2950</v>
      </c>
      <c r="C820" t="s">
        <v>1745</v>
      </c>
      <c r="D820" t="s">
        <v>637</v>
      </c>
      <c r="E820" t="s">
        <v>42</v>
      </c>
      <c r="F820" t="s">
        <v>1746</v>
      </c>
      <c r="G820" t="str">
        <f>"00082841"</f>
        <v>00082841</v>
      </c>
      <c r="H820" t="s">
        <v>761</v>
      </c>
      <c r="I820">
        <v>0</v>
      </c>
      <c r="J820">
        <v>0</v>
      </c>
      <c r="K820">
        <v>0</v>
      </c>
      <c r="L820">
        <v>200</v>
      </c>
      <c r="M820">
        <v>0</v>
      </c>
      <c r="N820">
        <v>70</v>
      </c>
      <c r="O820">
        <v>30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84</v>
      </c>
      <c r="W820">
        <v>588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1747</v>
      </c>
    </row>
    <row r="821" spans="1:30" x14ac:dyDescent="0.25">
      <c r="H821" t="s">
        <v>1748</v>
      </c>
    </row>
    <row r="822" spans="1:30" x14ac:dyDescent="0.25">
      <c r="A822">
        <v>408</v>
      </c>
      <c r="B822">
        <v>2890</v>
      </c>
      <c r="C822" t="s">
        <v>1749</v>
      </c>
      <c r="D822" t="s">
        <v>34</v>
      </c>
      <c r="E822" t="s">
        <v>808</v>
      </c>
      <c r="F822" t="s">
        <v>1750</v>
      </c>
      <c r="G822" t="str">
        <f>"00224218"</f>
        <v>00224218</v>
      </c>
      <c r="H822" t="s">
        <v>761</v>
      </c>
      <c r="I822">
        <v>0</v>
      </c>
      <c r="J822">
        <v>0</v>
      </c>
      <c r="K822">
        <v>0</v>
      </c>
      <c r="L822">
        <v>200</v>
      </c>
      <c r="M822">
        <v>0</v>
      </c>
      <c r="N822">
        <v>70</v>
      </c>
      <c r="O822">
        <v>0</v>
      </c>
      <c r="P822">
        <v>0</v>
      </c>
      <c r="Q822">
        <v>30</v>
      </c>
      <c r="R822">
        <v>0</v>
      </c>
      <c r="S822">
        <v>0</v>
      </c>
      <c r="T822">
        <v>0</v>
      </c>
      <c r="U822">
        <v>0</v>
      </c>
      <c r="V822">
        <v>84</v>
      </c>
      <c r="W822">
        <v>588</v>
      </c>
      <c r="X822">
        <v>0</v>
      </c>
      <c r="Z822">
        <v>0</v>
      </c>
      <c r="AA822">
        <v>0</v>
      </c>
      <c r="AB822">
        <v>0</v>
      </c>
      <c r="AC822">
        <v>0</v>
      </c>
      <c r="AD822" t="s">
        <v>1747</v>
      </c>
    </row>
    <row r="823" spans="1:30" x14ac:dyDescent="0.25">
      <c r="H823" t="s">
        <v>1751</v>
      </c>
    </row>
    <row r="824" spans="1:30" x14ac:dyDescent="0.25">
      <c r="A824">
        <v>409</v>
      </c>
      <c r="B824">
        <v>92</v>
      </c>
      <c r="C824" t="s">
        <v>1752</v>
      </c>
      <c r="D824" t="s">
        <v>1753</v>
      </c>
      <c r="E824" t="s">
        <v>300</v>
      </c>
      <c r="F824" t="s">
        <v>1754</v>
      </c>
      <c r="G824" t="str">
        <f>"201402003376"</f>
        <v>201402003376</v>
      </c>
      <c r="H824" t="s">
        <v>761</v>
      </c>
      <c r="I824">
        <v>0</v>
      </c>
      <c r="J824">
        <v>0</v>
      </c>
      <c r="K824">
        <v>0</v>
      </c>
      <c r="L824">
        <v>200</v>
      </c>
      <c r="M824">
        <v>0</v>
      </c>
      <c r="N824">
        <v>70</v>
      </c>
      <c r="O824">
        <v>30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84</v>
      </c>
      <c r="W824">
        <v>588</v>
      </c>
      <c r="X824">
        <v>0</v>
      </c>
      <c r="Z824">
        <v>0</v>
      </c>
      <c r="AA824">
        <v>0</v>
      </c>
      <c r="AB824">
        <v>0</v>
      </c>
      <c r="AC824">
        <v>0</v>
      </c>
      <c r="AD824" t="s">
        <v>1747</v>
      </c>
    </row>
    <row r="825" spans="1:30" x14ac:dyDescent="0.25">
      <c r="H825" t="s">
        <v>1755</v>
      </c>
    </row>
    <row r="826" spans="1:30" x14ac:dyDescent="0.25">
      <c r="A826">
        <v>410</v>
      </c>
      <c r="B826">
        <v>5044</v>
      </c>
      <c r="C826" t="s">
        <v>1756</v>
      </c>
      <c r="D826" t="s">
        <v>35</v>
      </c>
      <c r="E826" t="s">
        <v>203</v>
      </c>
      <c r="F826" t="s">
        <v>1757</v>
      </c>
      <c r="G826" t="str">
        <f>"00354983"</f>
        <v>00354983</v>
      </c>
      <c r="H826" t="s">
        <v>1758</v>
      </c>
      <c r="I826">
        <v>0</v>
      </c>
      <c r="J826">
        <v>0</v>
      </c>
      <c r="K826">
        <v>200</v>
      </c>
      <c r="L826">
        <v>0</v>
      </c>
      <c r="M826">
        <v>0</v>
      </c>
      <c r="N826">
        <v>70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84</v>
      </c>
      <c r="W826">
        <v>588</v>
      </c>
      <c r="X826">
        <v>0</v>
      </c>
      <c r="Z826">
        <v>0</v>
      </c>
      <c r="AA826">
        <v>0</v>
      </c>
      <c r="AB826">
        <v>0</v>
      </c>
      <c r="AC826">
        <v>0</v>
      </c>
      <c r="AD826" t="s">
        <v>1759</v>
      </c>
    </row>
    <row r="827" spans="1:30" x14ac:dyDescent="0.25">
      <c r="H827" t="s">
        <v>1760</v>
      </c>
    </row>
    <row r="828" spans="1:30" x14ac:dyDescent="0.25">
      <c r="A828">
        <v>411</v>
      </c>
      <c r="B828">
        <v>2233</v>
      </c>
      <c r="C828" t="s">
        <v>1761</v>
      </c>
      <c r="D828" t="s">
        <v>89</v>
      </c>
      <c r="E828" t="s">
        <v>225</v>
      </c>
      <c r="F828" t="s">
        <v>1762</v>
      </c>
      <c r="G828" t="str">
        <f>"00342916"</f>
        <v>00342916</v>
      </c>
      <c r="H828" t="s">
        <v>1495</v>
      </c>
      <c r="I828">
        <v>0</v>
      </c>
      <c r="J828">
        <v>0</v>
      </c>
      <c r="K828">
        <v>0</v>
      </c>
      <c r="L828">
        <v>200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84</v>
      </c>
      <c r="W828">
        <v>588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1763</v>
      </c>
    </row>
    <row r="829" spans="1:30" x14ac:dyDescent="0.25">
      <c r="H829" t="s">
        <v>1764</v>
      </c>
    </row>
    <row r="830" spans="1:30" x14ac:dyDescent="0.25">
      <c r="A830">
        <v>412</v>
      </c>
      <c r="B830">
        <v>3055</v>
      </c>
      <c r="C830" t="s">
        <v>1765</v>
      </c>
      <c r="D830" t="s">
        <v>1766</v>
      </c>
      <c r="E830" t="s">
        <v>1767</v>
      </c>
      <c r="F830" t="s">
        <v>1768</v>
      </c>
      <c r="G830" t="str">
        <f>"201504000328"</f>
        <v>201504000328</v>
      </c>
      <c r="H830" t="s">
        <v>1769</v>
      </c>
      <c r="I830">
        <v>0</v>
      </c>
      <c r="J830">
        <v>0</v>
      </c>
      <c r="K830">
        <v>0</v>
      </c>
      <c r="L830">
        <v>200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70</v>
      </c>
      <c r="U830">
        <v>0</v>
      </c>
      <c r="V830">
        <v>84</v>
      </c>
      <c r="W830">
        <v>588</v>
      </c>
      <c r="X830">
        <v>0</v>
      </c>
      <c r="Z830">
        <v>0</v>
      </c>
      <c r="AA830">
        <v>0</v>
      </c>
      <c r="AB830">
        <v>0</v>
      </c>
      <c r="AC830">
        <v>0</v>
      </c>
      <c r="AD830" t="s">
        <v>1770</v>
      </c>
    </row>
    <row r="831" spans="1:30" x14ac:dyDescent="0.25">
      <c r="H831" t="s">
        <v>1771</v>
      </c>
    </row>
    <row r="832" spans="1:30" x14ac:dyDescent="0.25">
      <c r="A832">
        <v>413</v>
      </c>
      <c r="B832">
        <v>367</v>
      </c>
      <c r="C832" t="s">
        <v>1772</v>
      </c>
      <c r="D832" t="s">
        <v>59</v>
      </c>
      <c r="E832" t="s">
        <v>66</v>
      </c>
      <c r="F832" t="s">
        <v>1773</v>
      </c>
      <c r="G832" t="str">
        <f>"00292067"</f>
        <v>00292067</v>
      </c>
      <c r="H832">
        <v>781</v>
      </c>
      <c r="I832">
        <v>0</v>
      </c>
      <c r="J832">
        <v>0</v>
      </c>
      <c r="K832">
        <v>0</v>
      </c>
      <c r="L832">
        <v>200</v>
      </c>
      <c r="M832">
        <v>0</v>
      </c>
      <c r="N832">
        <v>70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0</v>
      </c>
      <c r="Z832">
        <v>0</v>
      </c>
      <c r="AA832">
        <v>0</v>
      </c>
      <c r="AB832">
        <v>0</v>
      </c>
      <c r="AC832">
        <v>0</v>
      </c>
      <c r="AD832">
        <v>1639</v>
      </c>
    </row>
    <row r="833" spans="1:30" x14ac:dyDescent="0.25">
      <c r="H833" t="s">
        <v>1774</v>
      </c>
    </row>
    <row r="834" spans="1:30" x14ac:dyDescent="0.25">
      <c r="A834">
        <v>414</v>
      </c>
      <c r="B834">
        <v>2850</v>
      </c>
      <c r="C834" t="s">
        <v>1775</v>
      </c>
      <c r="D834" t="s">
        <v>593</v>
      </c>
      <c r="E834" t="s">
        <v>1280</v>
      </c>
      <c r="F834" t="s">
        <v>1776</v>
      </c>
      <c r="G834" t="str">
        <f>"00356423"</f>
        <v>00356423</v>
      </c>
      <c r="H834" t="s">
        <v>348</v>
      </c>
      <c r="I834">
        <v>0</v>
      </c>
      <c r="J834">
        <v>0</v>
      </c>
      <c r="K834">
        <v>0</v>
      </c>
      <c r="L834">
        <v>200</v>
      </c>
      <c r="M834">
        <v>0</v>
      </c>
      <c r="N834">
        <v>70</v>
      </c>
      <c r="O834">
        <v>30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84</v>
      </c>
      <c r="W834">
        <v>588</v>
      </c>
      <c r="X834">
        <v>0</v>
      </c>
      <c r="Z834">
        <v>0</v>
      </c>
      <c r="AA834">
        <v>0</v>
      </c>
      <c r="AB834">
        <v>0</v>
      </c>
      <c r="AC834">
        <v>0</v>
      </c>
      <c r="AD834" t="s">
        <v>1777</v>
      </c>
    </row>
    <row r="835" spans="1:30" x14ac:dyDescent="0.25">
      <c r="H835" t="s">
        <v>1778</v>
      </c>
    </row>
    <row r="836" spans="1:30" x14ac:dyDescent="0.25">
      <c r="A836">
        <v>415</v>
      </c>
      <c r="B836">
        <v>1579</v>
      </c>
      <c r="C836" t="s">
        <v>561</v>
      </c>
      <c r="D836" t="s">
        <v>562</v>
      </c>
      <c r="E836" t="s">
        <v>135</v>
      </c>
      <c r="F836" t="s">
        <v>563</v>
      </c>
      <c r="G836" t="str">
        <f>"00018581"</f>
        <v>00018581</v>
      </c>
      <c r="H836" t="s">
        <v>74</v>
      </c>
      <c r="I836">
        <v>0</v>
      </c>
      <c r="J836">
        <v>0</v>
      </c>
      <c r="K836">
        <v>0</v>
      </c>
      <c r="L836">
        <v>200</v>
      </c>
      <c r="M836">
        <v>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84</v>
      </c>
      <c r="W836">
        <v>588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1779</v>
      </c>
    </row>
    <row r="837" spans="1:30" x14ac:dyDescent="0.25">
      <c r="H837" t="s">
        <v>565</v>
      </c>
    </row>
    <row r="838" spans="1:30" x14ac:dyDescent="0.25">
      <c r="A838">
        <v>416</v>
      </c>
      <c r="B838">
        <v>2109</v>
      </c>
      <c r="C838" t="s">
        <v>1780</v>
      </c>
      <c r="D838" t="s">
        <v>283</v>
      </c>
      <c r="E838" t="s">
        <v>225</v>
      </c>
      <c r="F838" t="s">
        <v>1781</v>
      </c>
      <c r="G838" t="str">
        <f>"00327441"</f>
        <v>00327441</v>
      </c>
      <c r="H838" t="s">
        <v>74</v>
      </c>
      <c r="I838">
        <v>0</v>
      </c>
      <c r="J838">
        <v>0</v>
      </c>
      <c r="K838">
        <v>0</v>
      </c>
      <c r="L838">
        <v>200</v>
      </c>
      <c r="M838">
        <v>0</v>
      </c>
      <c r="N838">
        <v>70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84</v>
      </c>
      <c r="W838">
        <v>588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1779</v>
      </c>
    </row>
    <row r="839" spans="1:30" x14ac:dyDescent="0.25">
      <c r="H839" t="s">
        <v>1192</v>
      </c>
    </row>
    <row r="840" spans="1:30" x14ac:dyDescent="0.25">
      <c r="A840">
        <v>417</v>
      </c>
      <c r="B840">
        <v>360</v>
      </c>
      <c r="C840" t="s">
        <v>1782</v>
      </c>
      <c r="D840" t="s">
        <v>1474</v>
      </c>
      <c r="E840" t="s">
        <v>135</v>
      </c>
      <c r="F840" t="s">
        <v>1783</v>
      </c>
      <c r="G840" t="str">
        <f>"201406000885"</f>
        <v>201406000885</v>
      </c>
      <c r="H840" t="s">
        <v>1784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30</v>
      </c>
      <c r="O840">
        <v>30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84</v>
      </c>
      <c r="W840">
        <v>588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1785</v>
      </c>
    </row>
    <row r="841" spans="1:30" x14ac:dyDescent="0.25">
      <c r="H841" t="s">
        <v>1786</v>
      </c>
    </row>
    <row r="842" spans="1:30" x14ac:dyDescent="0.25">
      <c r="A842">
        <v>418</v>
      </c>
      <c r="B842">
        <v>2937</v>
      </c>
      <c r="C842" t="s">
        <v>1787</v>
      </c>
      <c r="D842" t="s">
        <v>408</v>
      </c>
      <c r="E842" t="s">
        <v>77</v>
      </c>
      <c r="F842" t="s">
        <v>1788</v>
      </c>
      <c r="G842" t="str">
        <f>"00294312"</f>
        <v>00294312</v>
      </c>
      <c r="H842" t="s">
        <v>742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50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60</v>
      </c>
      <c r="W842">
        <v>420</v>
      </c>
      <c r="X842">
        <v>0</v>
      </c>
      <c r="Z842">
        <v>0</v>
      </c>
      <c r="AA842">
        <v>0</v>
      </c>
      <c r="AB842">
        <v>24</v>
      </c>
      <c r="AC842">
        <v>408</v>
      </c>
      <c r="AD842" t="s">
        <v>1789</v>
      </c>
    </row>
    <row r="843" spans="1:30" x14ac:dyDescent="0.25">
      <c r="H843" t="s">
        <v>1790</v>
      </c>
    </row>
    <row r="844" spans="1:30" x14ac:dyDescent="0.25">
      <c r="A844">
        <v>419</v>
      </c>
      <c r="B844">
        <v>2837</v>
      </c>
      <c r="C844" t="s">
        <v>1791</v>
      </c>
      <c r="D844" t="s">
        <v>89</v>
      </c>
      <c r="E844" t="s">
        <v>135</v>
      </c>
      <c r="F844" t="s">
        <v>1792</v>
      </c>
      <c r="G844" t="str">
        <f>"00320252"</f>
        <v>00320252</v>
      </c>
      <c r="H844" t="s">
        <v>790</v>
      </c>
      <c r="I844">
        <v>0</v>
      </c>
      <c r="J844">
        <v>0</v>
      </c>
      <c r="K844">
        <v>0</v>
      </c>
      <c r="L844">
        <v>200</v>
      </c>
      <c r="M844">
        <v>0</v>
      </c>
      <c r="N844">
        <v>70</v>
      </c>
      <c r="O844">
        <v>30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84</v>
      </c>
      <c r="W844">
        <v>588</v>
      </c>
      <c r="X844">
        <v>0</v>
      </c>
      <c r="Z844">
        <v>0</v>
      </c>
      <c r="AA844">
        <v>0</v>
      </c>
      <c r="AB844">
        <v>0</v>
      </c>
      <c r="AC844">
        <v>0</v>
      </c>
      <c r="AD844" t="s">
        <v>1793</v>
      </c>
    </row>
    <row r="845" spans="1:30" x14ac:dyDescent="0.25">
      <c r="H845" t="s">
        <v>1794</v>
      </c>
    </row>
    <row r="846" spans="1:30" x14ac:dyDescent="0.25">
      <c r="A846">
        <v>420</v>
      </c>
      <c r="B846">
        <v>3431</v>
      </c>
      <c r="C846" t="s">
        <v>1795</v>
      </c>
      <c r="D846" t="s">
        <v>89</v>
      </c>
      <c r="E846" t="s">
        <v>42</v>
      </c>
      <c r="F846" t="s">
        <v>1796</v>
      </c>
      <c r="G846" t="str">
        <f>"201504000345"</f>
        <v>201504000345</v>
      </c>
      <c r="H846" t="s">
        <v>901</v>
      </c>
      <c r="I846">
        <v>0</v>
      </c>
      <c r="J846">
        <v>0</v>
      </c>
      <c r="K846">
        <v>0</v>
      </c>
      <c r="L846">
        <v>200</v>
      </c>
      <c r="M846">
        <v>0</v>
      </c>
      <c r="N846">
        <v>70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84</v>
      </c>
      <c r="W846">
        <v>588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1797</v>
      </c>
    </row>
    <row r="847" spans="1:30" x14ac:dyDescent="0.25">
      <c r="H847" t="s">
        <v>1798</v>
      </c>
    </row>
    <row r="848" spans="1:30" x14ac:dyDescent="0.25">
      <c r="A848">
        <v>421</v>
      </c>
      <c r="B848">
        <v>1976</v>
      </c>
      <c r="C848" t="s">
        <v>1799</v>
      </c>
      <c r="D848" t="s">
        <v>89</v>
      </c>
      <c r="E848" t="s">
        <v>408</v>
      </c>
      <c r="F848" t="s">
        <v>1800</v>
      </c>
      <c r="G848" t="str">
        <f>"00282464"</f>
        <v>00282464</v>
      </c>
      <c r="H848" t="s">
        <v>901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60</v>
      </c>
      <c r="W848">
        <v>420</v>
      </c>
      <c r="X848">
        <v>0</v>
      </c>
      <c r="Z848">
        <v>0</v>
      </c>
      <c r="AA848">
        <v>0</v>
      </c>
      <c r="AB848">
        <v>24</v>
      </c>
      <c r="AC848">
        <v>408</v>
      </c>
      <c r="AD848" t="s">
        <v>1797</v>
      </c>
    </row>
    <row r="849" spans="1:30" x14ac:dyDescent="0.25">
      <c r="H849" t="s">
        <v>1801</v>
      </c>
    </row>
    <row r="850" spans="1:30" x14ac:dyDescent="0.25">
      <c r="A850">
        <v>422</v>
      </c>
      <c r="B850">
        <v>3503</v>
      </c>
      <c r="C850" t="s">
        <v>1802</v>
      </c>
      <c r="D850" t="s">
        <v>203</v>
      </c>
      <c r="E850" t="s">
        <v>521</v>
      </c>
      <c r="F850" t="s">
        <v>1803</v>
      </c>
      <c r="G850" t="str">
        <f>"00362585"</f>
        <v>00362585</v>
      </c>
      <c r="H850" t="s">
        <v>244</v>
      </c>
      <c r="I850">
        <v>0</v>
      </c>
      <c r="J850">
        <v>0</v>
      </c>
      <c r="K850">
        <v>0</v>
      </c>
      <c r="L850">
        <v>200</v>
      </c>
      <c r="M850">
        <v>0</v>
      </c>
      <c r="N850">
        <v>70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23</v>
      </c>
      <c r="W850">
        <v>161</v>
      </c>
      <c r="X850">
        <v>0</v>
      </c>
      <c r="Z850">
        <v>0</v>
      </c>
      <c r="AA850">
        <v>0</v>
      </c>
      <c r="AB850">
        <v>24</v>
      </c>
      <c r="AC850">
        <v>408</v>
      </c>
      <c r="AD850" t="s">
        <v>1804</v>
      </c>
    </row>
    <row r="851" spans="1:30" x14ac:dyDescent="0.25">
      <c r="H851">
        <v>1089</v>
      </c>
    </row>
    <row r="852" spans="1:30" x14ac:dyDescent="0.25">
      <c r="A852">
        <v>423</v>
      </c>
      <c r="B852">
        <v>3540</v>
      </c>
      <c r="C852" t="s">
        <v>1805</v>
      </c>
      <c r="D852" t="s">
        <v>89</v>
      </c>
      <c r="E852" t="s">
        <v>103</v>
      </c>
      <c r="F852" t="s">
        <v>1806</v>
      </c>
      <c r="G852" t="str">
        <f>"00342549"</f>
        <v>00342549</v>
      </c>
      <c r="H852">
        <v>814</v>
      </c>
      <c r="I852">
        <v>0</v>
      </c>
      <c r="J852">
        <v>0</v>
      </c>
      <c r="K852">
        <v>0</v>
      </c>
      <c r="L852">
        <v>200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84</v>
      </c>
      <c r="W852">
        <v>588</v>
      </c>
      <c r="X852">
        <v>0</v>
      </c>
      <c r="Z852">
        <v>0</v>
      </c>
      <c r="AA852">
        <v>0</v>
      </c>
      <c r="AB852">
        <v>0</v>
      </c>
      <c r="AC852">
        <v>0</v>
      </c>
      <c r="AD852">
        <v>1632</v>
      </c>
    </row>
    <row r="853" spans="1:30" x14ac:dyDescent="0.25">
      <c r="H853" t="s">
        <v>1497</v>
      </c>
    </row>
    <row r="854" spans="1:30" x14ac:dyDescent="0.25">
      <c r="A854">
        <v>424</v>
      </c>
      <c r="B854">
        <v>4162</v>
      </c>
      <c r="C854" t="s">
        <v>1807</v>
      </c>
      <c r="D854" t="s">
        <v>1808</v>
      </c>
      <c r="E854" t="s">
        <v>408</v>
      </c>
      <c r="F854" t="s">
        <v>1809</v>
      </c>
      <c r="G854" t="str">
        <f>"201504004227"</f>
        <v>201504004227</v>
      </c>
      <c r="H854" t="s">
        <v>802</v>
      </c>
      <c r="I854">
        <v>0</v>
      </c>
      <c r="J854">
        <v>0</v>
      </c>
      <c r="K854">
        <v>0</v>
      </c>
      <c r="L854">
        <v>200</v>
      </c>
      <c r="M854">
        <v>0</v>
      </c>
      <c r="N854">
        <v>70</v>
      </c>
      <c r="O854">
        <v>30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84</v>
      </c>
      <c r="W854">
        <v>588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1810</v>
      </c>
    </row>
    <row r="855" spans="1:30" x14ac:dyDescent="0.25">
      <c r="H855" t="s">
        <v>1811</v>
      </c>
    </row>
    <row r="856" spans="1:30" x14ac:dyDescent="0.25">
      <c r="A856">
        <v>425</v>
      </c>
      <c r="B856">
        <v>147</v>
      </c>
      <c r="C856" t="s">
        <v>1812</v>
      </c>
      <c r="D856" t="s">
        <v>435</v>
      </c>
      <c r="E856" t="s">
        <v>42</v>
      </c>
      <c r="F856" t="s">
        <v>1813</v>
      </c>
      <c r="G856" t="str">
        <f>"201504000588"</f>
        <v>201504000588</v>
      </c>
      <c r="H856" t="s">
        <v>17</v>
      </c>
      <c r="I856">
        <v>0</v>
      </c>
      <c r="J856">
        <v>0</v>
      </c>
      <c r="K856">
        <v>0</v>
      </c>
      <c r="L856">
        <v>200</v>
      </c>
      <c r="M856">
        <v>0</v>
      </c>
      <c r="N856">
        <v>70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84</v>
      </c>
      <c r="W856">
        <v>588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1814</v>
      </c>
    </row>
    <row r="857" spans="1:30" x14ac:dyDescent="0.25">
      <c r="H857" t="s">
        <v>1815</v>
      </c>
    </row>
    <row r="858" spans="1:30" x14ac:dyDescent="0.25">
      <c r="A858">
        <v>426</v>
      </c>
      <c r="B858">
        <v>4018</v>
      </c>
      <c r="C858" t="s">
        <v>1816</v>
      </c>
      <c r="D858" t="s">
        <v>1039</v>
      </c>
      <c r="E858" t="s">
        <v>135</v>
      </c>
      <c r="F858" t="s">
        <v>1817</v>
      </c>
      <c r="G858" t="str">
        <f>"00176263"</f>
        <v>00176263</v>
      </c>
      <c r="H858" t="s">
        <v>425</v>
      </c>
      <c r="I858">
        <v>0</v>
      </c>
      <c r="J858">
        <v>0</v>
      </c>
      <c r="K858">
        <v>0</v>
      </c>
      <c r="L858">
        <v>200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84</v>
      </c>
      <c r="W858">
        <v>588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1818</v>
      </c>
    </row>
    <row r="859" spans="1:30" x14ac:dyDescent="0.25">
      <c r="H859" t="s">
        <v>1819</v>
      </c>
    </row>
    <row r="860" spans="1:30" x14ac:dyDescent="0.25">
      <c r="A860">
        <v>427</v>
      </c>
      <c r="B860">
        <v>1084</v>
      </c>
      <c r="C860" t="s">
        <v>1820</v>
      </c>
      <c r="D860" t="s">
        <v>225</v>
      </c>
      <c r="E860" t="s">
        <v>203</v>
      </c>
      <c r="F860" t="s">
        <v>1821</v>
      </c>
      <c r="G860" t="str">
        <f>"00261170"</f>
        <v>00261170</v>
      </c>
      <c r="H860" t="s">
        <v>606</v>
      </c>
      <c r="I860">
        <v>0</v>
      </c>
      <c r="J860">
        <v>0</v>
      </c>
      <c r="K860">
        <v>0</v>
      </c>
      <c r="L860">
        <v>200</v>
      </c>
      <c r="M860">
        <v>0</v>
      </c>
      <c r="N860">
        <v>70</v>
      </c>
      <c r="O860">
        <v>50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84</v>
      </c>
      <c r="W860">
        <v>588</v>
      </c>
      <c r="X860">
        <v>0</v>
      </c>
      <c r="Z860">
        <v>0</v>
      </c>
      <c r="AA860">
        <v>0</v>
      </c>
      <c r="AB860">
        <v>0</v>
      </c>
      <c r="AC860">
        <v>0</v>
      </c>
      <c r="AD860" t="s">
        <v>1822</v>
      </c>
    </row>
    <row r="861" spans="1:30" x14ac:dyDescent="0.25">
      <c r="H861" t="s">
        <v>1823</v>
      </c>
    </row>
    <row r="862" spans="1:30" x14ac:dyDescent="0.25">
      <c r="A862">
        <v>428</v>
      </c>
      <c r="B862">
        <v>1635</v>
      </c>
      <c r="C862" t="s">
        <v>1824</v>
      </c>
      <c r="D862" t="s">
        <v>496</v>
      </c>
      <c r="E862" t="s">
        <v>300</v>
      </c>
      <c r="F862" t="s">
        <v>1825</v>
      </c>
      <c r="G862" t="str">
        <f>"00017724"</f>
        <v>00017724</v>
      </c>
      <c r="H862" t="s">
        <v>671</v>
      </c>
      <c r="I862">
        <v>0</v>
      </c>
      <c r="J862">
        <v>0</v>
      </c>
      <c r="K862">
        <v>0</v>
      </c>
      <c r="L862">
        <v>200</v>
      </c>
      <c r="M862">
        <v>0</v>
      </c>
      <c r="N862">
        <v>70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84</v>
      </c>
      <c r="W862">
        <v>588</v>
      </c>
      <c r="X862">
        <v>0</v>
      </c>
      <c r="Z862">
        <v>0</v>
      </c>
      <c r="AA862">
        <v>0</v>
      </c>
      <c r="AB862">
        <v>0</v>
      </c>
      <c r="AC862">
        <v>0</v>
      </c>
      <c r="AD862" t="s">
        <v>1826</v>
      </c>
    </row>
    <row r="863" spans="1:30" x14ac:dyDescent="0.25">
      <c r="H863" t="s">
        <v>1827</v>
      </c>
    </row>
    <row r="864" spans="1:30" x14ac:dyDescent="0.25">
      <c r="A864">
        <v>429</v>
      </c>
      <c r="B864">
        <v>2272</v>
      </c>
      <c r="C864" t="s">
        <v>1828</v>
      </c>
      <c r="D864" t="s">
        <v>58</v>
      </c>
      <c r="E864" t="s">
        <v>77</v>
      </c>
      <c r="F864" t="s">
        <v>1829</v>
      </c>
      <c r="G864" t="str">
        <f>"201412005492"</f>
        <v>201412005492</v>
      </c>
      <c r="H864" t="s">
        <v>671</v>
      </c>
      <c r="I864">
        <v>0</v>
      </c>
      <c r="J864">
        <v>0</v>
      </c>
      <c r="K864">
        <v>0</v>
      </c>
      <c r="L864">
        <v>0</v>
      </c>
      <c r="M864">
        <v>130</v>
      </c>
      <c r="N864">
        <v>70</v>
      </c>
      <c r="O864">
        <v>70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84</v>
      </c>
      <c r="W864">
        <v>588</v>
      </c>
      <c r="X864">
        <v>0</v>
      </c>
      <c r="Z864">
        <v>0</v>
      </c>
      <c r="AA864">
        <v>0</v>
      </c>
      <c r="AB864">
        <v>0</v>
      </c>
      <c r="AC864">
        <v>0</v>
      </c>
      <c r="AD864" t="s">
        <v>1826</v>
      </c>
    </row>
    <row r="865" spans="1:30" x14ac:dyDescent="0.25">
      <c r="H865" t="s">
        <v>1830</v>
      </c>
    </row>
    <row r="866" spans="1:30" x14ac:dyDescent="0.25">
      <c r="A866">
        <v>430</v>
      </c>
      <c r="B866">
        <v>4521</v>
      </c>
      <c r="C866" t="s">
        <v>300</v>
      </c>
      <c r="D866" t="s">
        <v>1831</v>
      </c>
      <c r="E866" t="s">
        <v>1210</v>
      </c>
      <c r="F866" t="s">
        <v>1832</v>
      </c>
      <c r="G866" t="str">
        <f>"00361827"</f>
        <v>00361827</v>
      </c>
      <c r="H866" t="s">
        <v>1504</v>
      </c>
      <c r="I866">
        <v>0</v>
      </c>
      <c r="J866">
        <v>0</v>
      </c>
      <c r="K866">
        <v>0</v>
      </c>
      <c r="L866">
        <v>200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0</v>
      </c>
      <c r="AA866">
        <v>0</v>
      </c>
      <c r="AB866">
        <v>0</v>
      </c>
      <c r="AC866">
        <v>0</v>
      </c>
      <c r="AD866" t="s">
        <v>1833</v>
      </c>
    </row>
    <row r="867" spans="1:30" x14ac:dyDescent="0.25">
      <c r="H867" t="s">
        <v>1834</v>
      </c>
    </row>
    <row r="868" spans="1:30" x14ac:dyDescent="0.25">
      <c r="A868">
        <v>431</v>
      </c>
      <c r="B868">
        <v>2350</v>
      </c>
      <c r="C868" t="s">
        <v>1835</v>
      </c>
      <c r="D868" t="s">
        <v>408</v>
      </c>
      <c r="E868" t="s">
        <v>59</v>
      </c>
      <c r="F868" t="s">
        <v>1836</v>
      </c>
      <c r="G868" t="str">
        <f>"201402012309"</f>
        <v>201402012309</v>
      </c>
      <c r="H868" t="s">
        <v>30</v>
      </c>
      <c r="I868">
        <v>0</v>
      </c>
      <c r="J868">
        <v>0</v>
      </c>
      <c r="K868">
        <v>0</v>
      </c>
      <c r="L868">
        <v>200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84</v>
      </c>
      <c r="W868">
        <v>588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1837</v>
      </c>
    </row>
    <row r="869" spans="1:30" x14ac:dyDescent="0.25">
      <c r="H869" t="s">
        <v>1838</v>
      </c>
    </row>
    <row r="870" spans="1:30" x14ac:dyDescent="0.25">
      <c r="A870">
        <v>432</v>
      </c>
      <c r="B870">
        <v>2666</v>
      </c>
      <c r="C870" t="s">
        <v>1839</v>
      </c>
      <c r="D870" t="s">
        <v>28</v>
      </c>
      <c r="E870" t="s">
        <v>576</v>
      </c>
      <c r="F870" t="s">
        <v>1840</v>
      </c>
      <c r="G870" t="str">
        <f>"00366915"</f>
        <v>00366915</v>
      </c>
      <c r="H870">
        <v>770</v>
      </c>
      <c r="I870">
        <v>0</v>
      </c>
      <c r="J870">
        <v>0</v>
      </c>
      <c r="K870">
        <v>0</v>
      </c>
      <c r="L870">
        <v>200</v>
      </c>
      <c r="M870">
        <v>0</v>
      </c>
      <c r="N870">
        <v>70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84</v>
      </c>
      <c r="W870">
        <v>588</v>
      </c>
      <c r="X870">
        <v>0</v>
      </c>
      <c r="Z870">
        <v>0</v>
      </c>
      <c r="AA870">
        <v>0</v>
      </c>
      <c r="AB870">
        <v>0</v>
      </c>
      <c r="AC870">
        <v>0</v>
      </c>
      <c r="AD870">
        <v>1628</v>
      </c>
    </row>
    <row r="871" spans="1:30" x14ac:dyDescent="0.25">
      <c r="H871" t="s">
        <v>1841</v>
      </c>
    </row>
    <row r="872" spans="1:30" x14ac:dyDescent="0.25">
      <c r="A872">
        <v>433</v>
      </c>
      <c r="B872">
        <v>1235</v>
      </c>
      <c r="C872" t="s">
        <v>1842</v>
      </c>
      <c r="D872" t="s">
        <v>1843</v>
      </c>
      <c r="E872" t="s">
        <v>108</v>
      </c>
      <c r="F872" t="s">
        <v>1844</v>
      </c>
      <c r="G872" t="str">
        <f>"200901000128"</f>
        <v>200901000128</v>
      </c>
      <c r="H872">
        <v>770</v>
      </c>
      <c r="I872">
        <v>0</v>
      </c>
      <c r="J872">
        <v>0</v>
      </c>
      <c r="K872">
        <v>0</v>
      </c>
      <c r="L872">
        <v>200</v>
      </c>
      <c r="M872">
        <v>0</v>
      </c>
      <c r="N872">
        <v>70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84</v>
      </c>
      <c r="W872">
        <v>588</v>
      </c>
      <c r="X872">
        <v>0</v>
      </c>
      <c r="Z872">
        <v>0</v>
      </c>
      <c r="AA872">
        <v>0</v>
      </c>
      <c r="AB872">
        <v>0</v>
      </c>
      <c r="AC872">
        <v>0</v>
      </c>
      <c r="AD872">
        <v>1628</v>
      </c>
    </row>
    <row r="873" spans="1:30" x14ac:dyDescent="0.25">
      <c r="H873" t="s">
        <v>1845</v>
      </c>
    </row>
    <row r="874" spans="1:30" x14ac:dyDescent="0.25">
      <c r="A874">
        <v>434</v>
      </c>
      <c r="B874">
        <v>2157</v>
      </c>
      <c r="C874" t="s">
        <v>1846</v>
      </c>
      <c r="D874" t="s">
        <v>135</v>
      </c>
      <c r="E874" t="s">
        <v>52</v>
      </c>
      <c r="F874" t="s">
        <v>1847</v>
      </c>
      <c r="G874" t="str">
        <f>"00187804"</f>
        <v>00187804</v>
      </c>
      <c r="H874" t="s">
        <v>772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60</v>
      </c>
      <c r="W874">
        <v>420</v>
      </c>
      <c r="X874">
        <v>0</v>
      </c>
      <c r="Z874">
        <v>0</v>
      </c>
      <c r="AA874">
        <v>0</v>
      </c>
      <c r="AB874">
        <v>24</v>
      </c>
      <c r="AC874">
        <v>408</v>
      </c>
      <c r="AD874" t="s">
        <v>1848</v>
      </c>
    </row>
    <row r="875" spans="1:30" x14ac:dyDescent="0.25">
      <c r="H875" t="s">
        <v>1849</v>
      </c>
    </row>
    <row r="876" spans="1:30" x14ac:dyDescent="0.25">
      <c r="A876">
        <v>435</v>
      </c>
      <c r="B876">
        <v>3372</v>
      </c>
      <c r="C876" t="s">
        <v>1850</v>
      </c>
      <c r="D876" t="s">
        <v>158</v>
      </c>
      <c r="E876" t="s">
        <v>77</v>
      </c>
      <c r="F876" t="s">
        <v>1851</v>
      </c>
      <c r="G876" t="str">
        <f>"201412006152"</f>
        <v>201412006152</v>
      </c>
      <c r="H876" t="s">
        <v>777</v>
      </c>
      <c r="I876">
        <v>0</v>
      </c>
      <c r="J876">
        <v>0</v>
      </c>
      <c r="K876">
        <v>0</v>
      </c>
      <c r="L876">
        <v>260</v>
      </c>
      <c r="M876">
        <v>0</v>
      </c>
      <c r="N876">
        <v>70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84</v>
      </c>
      <c r="W876">
        <v>588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1852</v>
      </c>
    </row>
    <row r="877" spans="1:30" x14ac:dyDescent="0.25">
      <c r="H877" t="s">
        <v>1853</v>
      </c>
    </row>
    <row r="878" spans="1:30" x14ac:dyDescent="0.25">
      <c r="A878">
        <v>436</v>
      </c>
      <c r="B878">
        <v>522</v>
      </c>
      <c r="C878" t="s">
        <v>1854</v>
      </c>
      <c r="D878" t="s">
        <v>327</v>
      </c>
      <c r="E878" t="s">
        <v>77</v>
      </c>
      <c r="F878" t="s">
        <v>1855</v>
      </c>
      <c r="G878" t="str">
        <f>"201512001252"</f>
        <v>201512001252</v>
      </c>
      <c r="H878" t="s">
        <v>1050</v>
      </c>
      <c r="I878">
        <v>0</v>
      </c>
      <c r="J878">
        <v>0</v>
      </c>
      <c r="K878">
        <v>0</v>
      </c>
      <c r="L878">
        <v>200</v>
      </c>
      <c r="M878">
        <v>0</v>
      </c>
      <c r="N878">
        <v>70</v>
      </c>
      <c r="O878">
        <v>30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80</v>
      </c>
      <c r="W878">
        <v>560</v>
      </c>
      <c r="X878">
        <v>0</v>
      </c>
      <c r="Z878">
        <v>0</v>
      </c>
      <c r="AA878">
        <v>0</v>
      </c>
      <c r="AB878">
        <v>0</v>
      </c>
      <c r="AC878">
        <v>0</v>
      </c>
      <c r="AD878" t="s">
        <v>1856</v>
      </c>
    </row>
    <row r="879" spans="1:30" x14ac:dyDescent="0.25">
      <c r="H879" t="s">
        <v>1857</v>
      </c>
    </row>
    <row r="880" spans="1:30" x14ac:dyDescent="0.25">
      <c r="A880">
        <v>437</v>
      </c>
      <c r="B880">
        <v>5228</v>
      </c>
      <c r="C880" t="s">
        <v>1858</v>
      </c>
      <c r="D880" t="s">
        <v>42</v>
      </c>
      <c r="E880" t="s">
        <v>77</v>
      </c>
      <c r="F880" t="s">
        <v>1859</v>
      </c>
      <c r="G880" t="str">
        <f>"00018085"</f>
        <v>00018085</v>
      </c>
      <c r="H880" t="s">
        <v>138</v>
      </c>
      <c r="I880">
        <v>0</v>
      </c>
      <c r="J880">
        <v>0</v>
      </c>
      <c r="K880">
        <v>0</v>
      </c>
      <c r="L880">
        <v>200</v>
      </c>
      <c r="M880">
        <v>0</v>
      </c>
      <c r="N880">
        <v>30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84</v>
      </c>
      <c r="W880">
        <v>588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1860</v>
      </c>
    </row>
    <row r="881" spans="1:30" x14ac:dyDescent="0.25">
      <c r="H881" t="s">
        <v>1861</v>
      </c>
    </row>
    <row r="882" spans="1:30" x14ac:dyDescent="0.25">
      <c r="A882">
        <v>438</v>
      </c>
      <c r="B882">
        <v>4285</v>
      </c>
      <c r="C882" t="s">
        <v>1862</v>
      </c>
      <c r="D882" t="s">
        <v>1863</v>
      </c>
      <c r="E882" t="s">
        <v>731</v>
      </c>
      <c r="F882" t="s">
        <v>1864</v>
      </c>
      <c r="G882" t="str">
        <f>"00359689"</f>
        <v>00359689</v>
      </c>
      <c r="H882" t="s">
        <v>1370</v>
      </c>
      <c r="I882">
        <v>0</v>
      </c>
      <c r="J882">
        <v>0</v>
      </c>
      <c r="K882">
        <v>0</v>
      </c>
      <c r="L882">
        <v>200</v>
      </c>
      <c r="M882">
        <v>0</v>
      </c>
      <c r="N882">
        <v>70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84</v>
      </c>
      <c r="W882">
        <v>588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1865</v>
      </c>
    </row>
    <row r="883" spans="1:30" x14ac:dyDescent="0.25">
      <c r="H883" t="s">
        <v>1866</v>
      </c>
    </row>
    <row r="884" spans="1:30" x14ac:dyDescent="0.25">
      <c r="A884">
        <v>439</v>
      </c>
      <c r="B884">
        <v>4111</v>
      </c>
      <c r="C884" t="s">
        <v>1269</v>
      </c>
      <c r="D884" t="s">
        <v>203</v>
      </c>
      <c r="E884" t="s">
        <v>35</v>
      </c>
      <c r="F884" t="s">
        <v>1867</v>
      </c>
      <c r="G884" t="str">
        <f>"200712005407"</f>
        <v>200712005407</v>
      </c>
      <c r="H884" t="s">
        <v>498</v>
      </c>
      <c r="I884">
        <v>0</v>
      </c>
      <c r="J884">
        <v>0</v>
      </c>
      <c r="K884">
        <v>0</v>
      </c>
      <c r="L884">
        <v>200</v>
      </c>
      <c r="M884">
        <v>0</v>
      </c>
      <c r="N884">
        <v>30</v>
      </c>
      <c r="O884">
        <v>30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84</v>
      </c>
      <c r="W884">
        <v>588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1868</v>
      </c>
    </row>
    <row r="885" spans="1:30" x14ac:dyDescent="0.25">
      <c r="H885" t="s">
        <v>1869</v>
      </c>
    </row>
    <row r="886" spans="1:30" x14ac:dyDescent="0.25">
      <c r="A886">
        <v>440</v>
      </c>
      <c r="B886">
        <v>577</v>
      </c>
      <c r="C886" t="s">
        <v>1870</v>
      </c>
      <c r="D886" t="s">
        <v>42</v>
      </c>
      <c r="E886" t="s">
        <v>225</v>
      </c>
      <c r="F886" t="s">
        <v>1871</v>
      </c>
      <c r="G886" t="str">
        <f>"201504005064"</f>
        <v>201504005064</v>
      </c>
      <c r="H886" t="s">
        <v>1872</v>
      </c>
      <c r="I886">
        <v>0</v>
      </c>
      <c r="J886">
        <v>0</v>
      </c>
      <c r="K886">
        <v>0</v>
      </c>
      <c r="L886">
        <v>200</v>
      </c>
      <c r="M886">
        <v>0</v>
      </c>
      <c r="N886">
        <v>70</v>
      </c>
      <c r="O886">
        <v>0</v>
      </c>
      <c r="P886">
        <v>50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84</v>
      </c>
      <c r="W886">
        <v>588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1873</v>
      </c>
    </row>
    <row r="887" spans="1:30" x14ac:dyDescent="0.25">
      <c r="H887" t="s">
        <v>1874</v>
      </c>
    </row>
    <row r="888" spans="1:30" x14ac:dyDescent="0.25">
      <c r="A888">
        <v>441</v>
      </c>
      <c r="B888">
        <v>510</v>
      </c>
      <c r="C888" t="s">
        <v>1875</v>
      </c>
      <c r="D888" t="s">
        <v>77</v>
      </c>
      <c r="E888" t="s">
        <v>408</v>
      </c>
      <c r="F888" t="s">
        <v>1876</v>
      </c>
      <c r="G888" t="str">
        <f>"201411001772"</f>
        <v>201411001772</v>
      </c>
      <c r="H888">
        <v>726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70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60</v>
      </c>
      <c r="W888">
        <v>420</v>
      </c>
      <c r="X888">
        <v>0</v>
      </c>
      <c r="Z888">
        <v>0</v>
      </c>
      <c r="AA888">
        <v>0</v>
      </c>
      <c r="AB888">
        <v>24</v>
      </c>
      <c r="AC888">
        <v>408</v>
      </c>
      <c r="AD888">
        <v>1624</v>
      </c>
    </row>
    <row r="889" spans="1:30" x14ac:dyDescent="0.25">
      <c r="H889" t="s">
        <v>1877</v>
      </c>
    </row>
    <row r="890" spans="1:30" x14ac:dyDescent="0.25">
      <c r="A890">
        <v>442</v>
      </c>
      <c r="B890">
        <v>118</v>
      </c>
      <c r="C890" t="s">
        <v>1878</v>
      </c>
      <c r="D890" t="s">
        <v>373</v>
      </c>
      <c r="E890" t="s">
        <v>42</v>
      </c>
      <c r="F890" t="s">
        <v>1879</v>
      </c>
      <c r="G890" t="str">
        <f>"00021245"</f>
        <v>00021245</v>
      </c>
      <c r="H890">
        <v>715</v>
      </c>
      <c r="I890">
        <v>0</v>
      </c>
      <c r="J890">
        <v>0</v>
      </c>
      <c r="K890">
        <v>0</v>
      </c>
      <c r="L890">
        <v>0</v>
      </c>
      <c r="M890">
        <v>100</v>
      </c>
      <c r="N890">
        <v>70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69</v>
      </c>
      <c r="W890">
        <v>483</v>
      </c>
      <c r="X890">
        <v>0</v>
      </c>
      <c r="Z890">
        <v>0</v>
      </c>
      <c r="AA890">
        <v>0</v>
      </c>
      <c r="AB890">
        <v>15</v>
      </c>
      <c r="AC890">
        <v>255</v>
      </c>
      <c r="AD890">
        <v>1623</v>
      </c>
    </row>
    <row r="891" spans="1:30" x14ac:dyDescent="0.25">
      <c r="H891" t="s">
        <v>1880</v>
      </c>
    </row>
    <row r="892" spans="1:30" x14ac:dyDescent="0.25">
      <c r="A892">
        <v>443</v>
      </c>
      <c r="B892">
        <v>2738</v>
      </c>
      <c r="C892" t="s">
        <v>1056</v>
      </c>
      <c r="D892" t="s">
        <v>1057</v>
      </c>
      <c r="E892" t="s">
        <v>203</v>
      </c>
      <c r="F892" t="s">
        <v>1058</v>
      </c>
      <c r="G892" t="str">
        <f>"00115995"</f>
        <v>00115995</v>
      </c>
      <c r="H892" t="s">
        <v>1059</v>
      </c>
      <c r="I892">
        <v>0</v>
      </c>
      <c r="J892">
        <v>0</v>
      </c>
      <c r="K892">
        <v>0</v>
      </c>
      <c r="L892">
        <v>0</v>
      </c>
      <c r="M892">
        <v>100</v>
      </c>
      <c r="N892">
        <v>70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72</v>
      </c>
      <c r="W892">
        <v>504</v>
      </c>
      <c r="X892">
        <v>0</v>
      </c>
      <c r="Z892">
        <v>0</v>
      </c>
      <c r="AA892">
        <v>0</v>
      </c>
      <c r="AB892">
        <v>12</v>
      </c>
      <c r="AC892">
        <v>204</v>
      </c>
      <c r="AD892" t="s">
        <v>1881</v>
      </c>
    </row>
    <row r="893" spans="1:30" x14ac:dyDescent="0.25">
      <c r="H893" t="s">
        <v>1061</v>
      </c>
    </row>
    <row r="894" spans="1:30" x14ac:dyDescent="0.25">
      <c r="A894">
        <v>444</v>
      </c>
      <c r="B894">
        <v>2631</v>
      </c>
      <c r="C894" t="s">
        <v>1688</v>
      </c>
      <c r="D894" t="s">
        <v>389</v>
      </c>
      <c r="E894" t="s">
        <v>148</v>
      </c>
      <c r="F894" t="s">
        <v>1882</v>
      </c>
      <c r="G894" t="str">
        <f>"00050464"</f>
        <v>00050464</v>
      </c>
      <c r="H894" t="s">
        <v>79</v>
      </c>
      <c r="I894">
        <v>0</v>
      </c>
      <c r="J894">
        <v>0</v>
      </c>
      <c r="K894">
        <v>0</v>
      </c>
      <c r="L894">
        <v>200</v>
      </c>
      <c r="M894">
        <v>0</v>
      </c>
      <c r="N894">
        <v>50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84</v>
      </c>
      <c r="W894">
        <v>588</v>
      </c>
      <c r="X894">
        <v>6</v>
      </c>
      <c r="Y894">
        <v>1080</v>
      </c>
      <c r="Z894">
        <v>0</v>
      </c>
      <c r="AA894">
        <v>0</v>
      </c>
      <c r="AB894">
        <v>0</v>
      </c>
      <c r="AC894">
        <v>0</v>
      </c>
      <c r="AD894" t="s">
        <v>1883</v>
      </c>
    </row>
    <row r="895" spans="1:30" x14ac:dyDescent="0.25">
      <c r="H895">
        <v>1080</v>
      </c>
    </row>
    <row r="896" spans="1:30" x14ac:dyDescent="0.25">
      <c r="A896">
        <v>445</v>
      </c>
      <c r="B896">
        <v>2852</v>
      </c>
      <c r="C896" t="s">
        <v>179</v>
      </c>
      <c r="D896" t="s">
        <v>148</v>
      </c>
      <c r="E896" t="s">
        <v>59</v>
      </c>
      <c r="F896" t="s">
        <v>1884</v>
      </c>
      <c r="G896" t="str">
        <f>"00368681"</f>
        <v>00368681</v>
      </c>
      <c r="H896">
        <v>913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50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70</v>
      </c>
      <c r="V896">
        <v>84</v>
      </c>
      <c r="W896">
        <v>588</v>
      </c>
      <c r="X896">
        <v>0</v>
      </c>
      <c r="Z896">
        <v>0</v>
      </c>
      <c r="AA896">
        <v>0</v>
      </c>
      <c r="AB896">
        <v>0</v>
      </c>
      <c r="AC896">
        <v>0</v>
      </c>
      <c r="AD896">
        <v>1621</v>
      </c>
    </row>
    <row r="897" spans="1:30" x14ac:dyDescent="0.25">
      <c r="H897" t="s">
        <v>1885</v>
      </c>
    </row>
    <row r="898" spans="1:30" x14ac:dyDescent="0.25">
      <c r="A898">
        <v>446</v>
      </c>
      <c r="B898">
        <v>3487</v>
      </c>
      <c r="C898" t="s">
        <v>1886</v>
      </c>
      <c r="D898" t="s">
        <v>89</v>
      </c>
      <c r="E898" t="s">
        <v>820</v>
      </c>
      <c r="F898" t="s">
        <v>1887</v>
      </c>
      <c r="G898" t="str">
        <f>"00107302"</f>
        <v>00107302</v>
      </c>
      <c r="H898">
        <v>803</v>
      </c>
      <c r="I898">
        <v>0</v>
      </c>
      <c r="J898">
        <v>0</v>
      </c>
      <c r="K898">
        <v>0</v>
      </c>
      <c r="L898">
        <v>200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84</v>
      </c>
      <c r="W898">
        <v>588</v>
      </c>
      <c r="X898">
        <v>0</v>
      </c>
      <c r="Z898">
        <v>0</v>
      </c>
      <c r="AA898">
        <v>0</v>
      </c>
      <c r="AB898">
        <v>0</v>
      </c>
      <c r="AC898">
        <v>0</v>
      </c>
      <c r="AD898">
        <v>1621</v>
      </c>
    </row>
    <row r="899" spans="1:30" x14ac:dyDescent="0.25">
      <c r="H899">
        <v>1079</v>
      </c>
    </row>
    <row r="900" spans="1:30" x14ac:dyDescent="0.25">
      <c r="A900">
        <v>447</v>
      </c>
      <c r="B900">
        <v>4841</v>
      </c>
      <c r="C900" t="s">
        <v>1888</v>
      </c>
      <c r="D900" t="s">
        <v>1889</v>
      </c>
      <c r="E900" t="s">
        <v>1890</v>
      </c>
      <c r="F900" t="s">
        <v>1891</v>
      </c>
      <c r="G900" t="str">
        <f>"201510004885"</f>
        <v>201510004885</v>
      </c>
      <c r="H900" t="s">
        <v>348</v>
      </c>
      <c r="I900">
        <v>0</v>
      </c>
      <c r="J900">
        <v>0</v>
      </c>
      <c r="K900">
        <v>0</v>
      </c>
      <c r="L900">
        <v>260</v>
      </c>
      <c r="M900">
        <v>0</v>
      </c>
      <c r="N900">
        <v>70</v>
      </c>
      <c r="O900">
        <v>0</v>
      </c>
      <c r="P900">
        <v>50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70</v>
      </c>
      <c r="W900">
        <v>490</v>
      </c>
      <c r="X900">
        <v>0</v>
      </c>
      <c r="Z900">
        <v>0</v>
      </c>
      <c r="AA900">
        <v>0</v>
      </c>
      <c r="AB900">
        <v>0</v>
      </c>
      <c r="AC900">
        <v>0</v>
      </c>
      <c r="AD900" t="s">
        <v>1892</v>
      </c>
    </row>
    <row r="901" spans="1:30" x14ac:dyDescent="0.25">
      <c r="H901" t="s">
        <v>1893</v>
      </c>
    </row>
    <row r="902" spans="1:30" x14ac:dyDescent="0.25">
      <c r="A902">
        <v>448</v>
      </c>
      <c r="B902">
        <v>3121</v>
      </c>
      <c r="C902" t="s">
        <v>1780</v>
      </c>
      <c r="D902" t="s">
        <v>1894</v>
      </c>
      <c r="E902" t="s">
        <v>435</v>
      </c>
      <c r="F902" t="s">
        <v>1895</v>
      </c>
      <c r="G902" t="str">
        <f>"201504004760"</f>
        <v>201504004760</v>
      </c>
      <c r="H902" t="s">
        <v>558</v>
      </c>
      <c r="I902">
        <v>0</v>
      </c>
      <c r="J902">
        <v>0</v>
      </c>
      <c r="K902">
        <v>0</v>
      </c>
      <c r="L902">
        <v>200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84</v>
      </c>
      <c r="W902">
        <v>588</v>
      </c>
      <c r="X902">
        <v>0</v>
      </c>
      <c r="Z902">
        <v>0</v>
      </c>
      <c r="AA902">
        <v>0</v>
      </c>
      <c r="AB902">
        <v>0</v>
      </c>
      <c r="AC902">
        <v>0</v>
      </c>
      <c r="AD902" t="s">
        <v>1896</v>
      </c>
    </row>
    <row r="903" spans="1:30" x14ac:dyDescent="0.25">
      <c r="H903" t="s">
        <v>1897</v>
      </c>
    </row>
    <row r="904" spans="1:30" x14ac:dyDescent="0.25">
      <c r="A904">
        <v>449</v>
      </c>
      <c r="B904">
        <v>1403</v>
      </c>
      <c r="C904" t="s">
        <v>1898</v>
      </c>
      <c r="D904" t="s">
        <v>59</v>
      </c>
      <c r="E904" t="s">
        <v>42</v>
      </c>
      <c r="F904" t="s">
        <v>1899</v>
      </c>
      <c r="G904" t="str">
        <f>"201503000132"</f>
        <v>201503000132</v>
      </c>
      <c r="H904" t="s">
        <v>558</v>
      </c>
      <c r="I904">
        <v>0</v>
      </c>
      <c r="J904">
        <v>0</v>
      </c>
      <c r="K904">
        <v>0</v>
      </c>
      <c r="L904">
        <v>200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84</v>
      </c>
      <c r="W904">
        <v>588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1896</v>
      </c>
    </row>
    <row r="905" spans="1:30" x14ac:dyDescent="0.25">
      <c r="H905" t="s">
        <v>1900</v>
      </c>
    </row>
    <row r="906" spans="1:30" x14ac:dyDescent="0.25">
      <c r="A906">
        <v>450</v>
      </c>
      <c r="B906">
        <v>827</v>
      </c>
      <c r="C906" t="s">
        <v>1901</v>
      </c>
      <c r="D906" t="s">
        <v>103</v>
      </c>
      <c r="E906" t="s">
        <v>135</v>
      </c>
      <c r="F906" t="s">
        <v>1902</v>
      </c>
      <c r="G906" t="str">
        <f>"201511042578"</f>
        <v>201511042578</v>
      </c>
      <c r="H906" t="s">
        <v>802</v>
      </c>
      <c r="I906">
        <v>0</v>
      </c>
      <c r="J906">
        <v>0</v>
      </c>
      <c r="K906">
        <v>0</v>
      </c>
      <c r="L906">
        <v>200</v>
      </c>
      <c r="M906">
        <v>0</v>
      </c>
      <c r="N906">
        <v>70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55</v>
      </c>
      <c r="W906">
        <v>385</v>
      </c>
      <c r="X906">
        <v>0</v>
      </c>
      <c r="Z906">
        <v>0</v>
      </c>
      <c r="AA906">
        <v>0</v>
      </c>
      <c r="AB906">
        <v>13</v>
      </c>
      <c r="AC906">
        <v>221</v>
      </c>
      <c r="AD906" t="s">
        <v>1903</v>
      </c>
    </row>
    <row r="907" spans="1:30" x14ac:dyDescent="0.25">
      <c r="H907" t="s">
        <v>1904</v>
      </c>
    </row>
    <row r="908" spans="1:30" x14ac:dyDescent="0.25">
      <c r="A908">
        <v>451</v>
      </c>
      <c r="B908">
        <v>3770</v>
      </c>
      <c r="C908" t="s">
        <v>1905</v>
      </c>
      <c r="D908" t="s">
        <v>108</v>
      </c>
      <c r="E908" t="s">
        <v>77</v>
      </c>
      <c r="F908" t="s">
        <v>1906</v>
      </c>
      <c r="G908" t="str">
        <f>"00050914"</f>
        <v>00050914</v>
      </c>
      <c r="H908" t="s">
        <v>1907</v>
      </c>
      <c r="I908">
        <v>0</v>
      </c>
      <c r="J908">
        <v>0</v>
      </c>
      <c r="K908">
        <v>0</v>
      </c>
      <c r="L908">
        <v>200</v>
      </c>
      <c r="M908">
        <v>0</v>
      </c>
      <c r="N908">
        <v>70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84</v>
      </c>
      <c r="W908">
        <v>588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1908</v>
      </c>
    </row>
    <row r="909" spans="1:30" x14ac:dyDescent="0.25">
      <c r="H909">
        <v>1078</v>
      </c>
    </row>
    <row r="910" spans="1:30" x14ac:dyDescent="0.25">
      <c r="A910">
        <v>452</v>
      </c>
      <c r="B910">
        <v>3659</v>
      </c>
      <c r="C910" t="s">
        <v>1909</v>
      </c>
      <c r="D910" t="s">
        <v>1910</v>
      </c>
      <c r="E910" t="s">
        <v>52</v>
      </c>
      <c r="F910" t="s">
        <v>1911</v>
      </c>
      <c r="G910" t="str">
        <f>"201504003605"</f>
        <v>201504003605</v>
      </c>
      <c r="H910" t="s">
        <v>677</v>
      </c>
      <c r="I910">
        <v>0</v>
      </c>
      <c r="J910">
        <v>0</v>
      </c>
      <c r="K910">
        <v>0</v>
      </c>
      <c r="L910">
        <v>200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84</v>
      </c>
      <c r="W910">
        <v>588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1912</v>
      </c>
    </row>
    <row r="911" spans="1:30" x14ac:dyDescent="0.25">
      <c r="H911" t="s">
        <v>1913</v>
      </c>
    </row>
    <row r="912" spans="1:30" x14ac:dyDescent="0.25">
      <c r="A912">
        <v>453</v>
      </c>
      <c r="B912">
        <v>2866</v>
      </c>
      <c r="C912" t="s">
        <v>1914</v>
      </c>
      <c r="D912" t="s">
        <v>252</v>
      </c>
      <c r="E912" t="s">
        <v>225</v>
      </c>
      <c r="F912" t="s">
        <v>1915</v>
      </c>
      <c r="G912" t="str">
        <f>"00365816"</f>
        <v>00365816</v>
      </c>
      <c r="H912" t="s">
        <v>624</v>
      </c>
      <c r="I912">
        <v>0</v>
      </c>
      <c r="J912">
        <v>0</v>
      </c>
      <c r="K912">
        <v>0</v>
      </c>
      <c r="L912">
        <v>200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84</v>
      </c>
      <c r="W912">
        <v>588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1916</v>
      </c>
    </row>
    <row r="913" spans="1:30" x14ac:dyDescent="0.25">
      <c r="H913" t="s">
        <v>1917</v>
      </c>
    </row>
    <row r="914" spans="1:30" x14ac:dyDescent="0.25">
      <c r="A914">
        <v>454</v>
      </c>
      <c r="B914">
        <v>4502</v>
      </c>
      <c r="C914" t="s">
        <v>1918</v>
      </c>
      <c r="D914" t="s">
        <v>77</v>
      </c>
      <c r="E914" t="s">
        <v>135</v>
      </c>
      <c r="F914" t="s">
        <v>1919</v>
      </c>
      <c r="G914" t="str">
        <f>"00354125"</f>
        <v>00354125</v>
      </c>
      <c r="H914" t="s">
        <v>624</v>
      </c>
      <c r="I914">
        <v>0</v>
      </c>
      <c r="J914">
        <v>0</v>
      </c>
      <c r="K914">
        <v>0</v>
      </c>
      <c r="L914">
        <v>200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84</v>
      </c>
      <c r="W914">
        <v>588</v>
      </c>
      <c r="X914">
        <v>0</v>
      </c>
      <c r="Z914">
        <v>0</v>
      </c>
      <c r="AA914">
        <v>0</v>
      </c>
      <c r="AB914">
        <v>0</v>
      </c>
      <c r="AC914">
        <v>0</v>
      </c>
      <c r="AD914" t="s">
        <v>1916</v>
      </c>
    </row>
    <row r="915" spans="1:30" x14ac:dyDescent="0.25">
      <c r="H915" t="s">
        <v>1920</v>
      </c>
    </row>
    <row r="916" spans="1:30" x14ac:dyDescent="0.25">
      <c r="A916">
        <v>455</v>
      </c>
      <c r="B916">
        <v>4835</v>
      </c>
      <c r="C916" t="s">
        <v>730</v>
      </c>
      <c r="D916" t="s">
        <v>637</v>
      </c>
      <c r="E916" t="s">
        <v>731</v>
      </c>
      <c r="F916" t="s">
        <v>732</v>
      </c>
      <c r="G916" t="str">
        <f>"00308787"</f>
        <v>00308787</v>
      </c>
      <c r="H916" t="s">
        <v>61</v>
      </c>
      <c r="I916">
        <v>150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30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84</v>
      </c>
      <c r="W916">
        <v>588</v>
      </c>
      <c r="X916">
        <v>0</v>
      </c>
      <c r="Z916">
        <v>0</v>
      </c>
      <c r="AA916">
        <v>0</v>
      </c>
      <c r="AB916">
        <v>0</v>
      </c>
      <c r="AC916">
        <v>0</v>
      </c>
      <c r="AD916" t="s">
        <v>1921</v>
      </c>
    </row>
    <row r="917" spans="1:30" x14ac:dyDescent="0.25">
      <c r="H917" t="s">
        <v>734</v>
      </c>
    </row>
    <row r="918" spans="1:30" x14ac:dyDescent="0.25">
      <c r="A918">
        <v>456</v>
      </c>
      <c r="B918">
        <v>609</v>
      </c>
      <c r="C918" t="s">
        <v>796</v>
      </c>
      <c r="D918" t="s">
        <v>1922</v>
      </c>
      <c r="E918" t="s">
        <v>435</v>
      </c>
      <c r="F918" t="s">
        <v>1923</v>
      </c>
      <c r="G918" t="str">
        <f>"00019344"</f>
        <v>00019344</v>
      </c>
      <c r="H918" t="s">
        <v>737</v>
      </c>
      <c r="I918">
        <v>0</v>
      </c>
      <c r="J918">
        <v>0</v>
      </c>
      <c r="K918">
        <v>0</v>
      </c>
      <c r="L918">
        <v>260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84</v>
      </c>
      <c r="W918">
        <v>588</v>
      </c>
      <c r="X918">
        <v>0</v>
      </c>
      <c r="Z918">
        <v>0</v>
      </c>
      <c r="AA918">
        <v>0</v>
      </c>
      <c r="AB918">
        <v>0</v>
      </c>
      <c r="AC918">
        <v>0</v>
      </c>
      <c r="AD918" t="s">
        <v>1924</v>
      </c>
    </row>
    <row r="919" spans="1:30" x14ac:dyDescent="0.25">
      <c r="H919" t="s">
        <v>1925</v>
      </c>
    </row>
    <row r="920" spans="1:30" x14ac:dyDescent="0.25">
      <c r="A920">
        <v>457</v>
      </c>
      <c r="B920">
        <v>2792</v>
      </c>
      <c r="C920" t="s">
        <v>1926</v>
      </c>
      <c r="D920" t="s">
        <v>1927</v>
      </c>
      <c r="E920" t="s">
        <v>225</v>
      </c>
      <c r="F920" t="s">
        <v>1928</v>
      </c>
      <c r="G920" t="str">
        <f>"00366722"</f>
        <v>00366722</v>
      </c>
      <c r="H920" t="s">
        <v>1929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70</v>
      </c>
      <c r="O920">
        <v>0</v>
      </c>
      <c r="P920">
        <v>0</v>
      </c>
      <c r="Q920">
        <v>50</v>
      </c>
      <c r="R920">
        <v>0</v>
      </c>
      <c r="S920">
        <v>0</v>
      </c>
      <c r="T920">
        <v>0</v>
      </c>
      <c r="U920">
        <v>0</v>
      </c>
      <c r="V920">
        <v>60</v>
      </c>
      <c r="W920">
        <v>420</v>
      </c>
      <c r="X920">
        <v>0</v>
      </c>
      <c r="Z920">
        <v>0</v>
      </c>
      <c r="AA920">
        <v>0</v>
      </c>
      <c r="AB920">
        <v>24</v>
      </c>
      <c r="AC920">
        <v>408</v>
      </c>
      <c r="AD920" t="s">
        <v>1930</v>
      </c>
    </row>
    <row r="921" spans="1:30" x14ac:dyDescent="0.25">
      <c r="H921" t="s">
        <v>1931</v>
      </c>
    </row>
    <row r="922" spans="1:30" x14ac:dyDescent="0.25">
      <c r="A922">
        <v>458</v>
      </c>
      <c r="B922">
        <v>2103</v>
      </c>
      <c r="C922" t="s">
        <v>1932</v>
      </c>
      <c r="D922" t="s">
        <v>1933</v>
      </c>
      <c r="E922" t="s">
        <v>253</v>
      </c>
      <c r="F922" t="s">
        <v>1934</v>
      </c>
      <c r="G922" t="str">
        <f>"00026957"</f>
        <v>00026957</v>
      </c>
      <c r="H922" t="s">
        <v>248</v>
      </c>
      <c r="I922">
        <v>0</v>
      </c>
      <c r="J922">
        <v>0</v>
      </c>
      <c r="K922">
        <v>0</v>
      </c>
      <c r="L922">
        <v>200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84</v>
      </c>
      <c r="W922">
        <v>588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1935</v>
      </c>
    </row>
    <row r="923" spans="1:30" x14ac:dyDescent="0.25">
      <c r="H923" t="s">
        <v>1936</v>
      </c>
    </row>
    <row r="924" spans="1:30" x14ac:dyDescent="0.25">
      <c r="A924">
        <v>459</v>
      </c>
      <c r="B924">
        <v>1753</v>
      </c>
      <c r="C924" t="s">
        <v>1937</v>
      </c>
      <c r="D924" t="s">
        <v>373</v>
      </c>
      <c r="E924" t="s">
        <v>28</v>
      </c>
      <c r="F924" t="s">
        <v>1938</v>
      </c>
      <c r="G924" t="str">
        <f>"201511031253"</f>
        <v>201511031253</v>
      </c>
      <c r="H924" t="s">
        <v>742</v>
      </c>
      <c r="I924">
        <v>0</v>
      </c>
      <c r="J924">
        <v>0</v>
      </c>
      <c r="K924">
        <v>0</v>
      </c>
      <c r="L924">
        <v>200</v>
      </c>
      <c r="M924">
        <v>0</v>
      </c>
      <c r="N924">
        <v>70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X924">
        <v>0</v>
      </c>
      <c r="Z924">
        <v>0</v>
      </c>
      <c r="AA924">
        <v>0</v>
      </c>
      <c r="AB924">
        <v>0</v>
      </c>
      <c r="AC924">
        <v>0</v>
      </c>
      <c r="AD924" t="s">
        <v>1939</v>
      </c>
    </row>
    <row r="925" spans="1:30" x14ac:dyDescent="0.25">
      <c r="H925" t="s">
        <v>1940</v>
      </c>
    </row>
    <row r="926" spans="1:30" x14ac:dyDescent="0.25">
      <c r="A926">
        <v>460</v>
      </c>
      <c r="B926">
        <v>5231</v>
      </c>
      <c r="C926" t="s">
        <v>1941</v>
      </c>
      <c r="D926" t="s">
        <v>1942</v>
      </c>
      <c r="E926" t="s">
        <v>1943</v>
      </c>
      <c r="F926" t="s">
        <v>1944</v>
      </c>
      <c r="G926" t="str">
        <f>"00369404"</f>
        <v>00369404</v>
      </c>
      <c r="H926" t="s">
        <v>742</v>
      </c>
      <c r="I926">
        <v>0</v>
      </c>
      <c r="J926">
        <v>0</v>
      </c>
      <c r="K926">
        <v>0</v>
      </c>
      <c r="L926">
        <v>200</v>
      </c>
      <c r="M926">
        <v>0</v>
      </c>
      <c r="N926">
        <v>70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84</v>
      </c>
      <c r="W926">
        <v>588</v>
      </c>
      <c r="X926">
        <v>0</v>
      </c>
      <c r="Z926">
        <v>0</v>
      </c>
      <c r="AA926">
        <v>0</v>
      </c>
      <c r="AB926">
        <v>0</v>
      </c>
      <c r="AC926">
        <v>0</v>
      </c>
      <c r="AD926" t="s">
        <v>1939</v>
      </c>
    </row>
    <row r="927" spans="1:30" x14ac:dyDescent="0.25">
      <c r="H927" t="s">
        <v>1945</v>
      </c>
    </row>
    <row r="928" spans="1:30" x14ac:dyDescent="0.25">
      <c r="A928">
        <v>461</v>
      </c>
      <c r="B928">
        <v>2066</v>
      </c>
      <c r="C928" t="s">
        <v>1946</v>
      </c>
      <c r="D928" t="s">
        <v>562</v>
      </c>
      <c r="E928" t="s">
        <v>435</v>
      </c>
      <c r="F928" t="s">
        <v>1947</v>
      </c>
      <c r="G928" t="str">
        <f>"00333643"</f>
        <v>00333643</v>
      </c>
      <c r="H928" t="s">
        <v>1504</v>
      </c>
      <c r="I928">
        <v>0</v>
      </c>
      <c r="J928">
        <v>0</v>
      </c>
      <c r="K928">
        <v>0</v>
      </c>
      <c r="L928">
        <v>200</v>
      </c>
      <c r="M928">
        <v>0</v>
      </c>
      <c r="N928">
        <v>70</v>
      </c>
      <c r="O928">
        <v>0</v>
      </c>
      <c r="P928">
        <v>0</v>
      </c>
      <c r="Q928">
        <v>0</v>
      </c>
      <c r="R928">
        <v>30</v>
      </c>
      <c r="S928">
        <v>0</v>
      </c>
      <c r="T928">
        <v>0</v>
      </c>
      <c r="U928">
        <v>0</v>
      </c>
      <c r="V928">
        <v>72</v>
      </c>
      <c r="W928">
        <v>504</v>
      </c>
      <c r="X928">
        <v>0</v>
      </c>
      <c r="Z928">
        <v>0</v>
      </c>
      <c r="AA928">
        <v>0</v>
      </c>
      <c r="AB928">
        <v>0</v>
      </c>
      <c r="AC928">
        <v>0</v>
      </c>
      <c r="AD928" t="s">
        <v>1948</v>
      </c>
    </row>
    <row r="929" spans="1:30" x14ac:dyDescent="0.25">
      <c r="H929" t="s">
        <v>32</v>
      </c>
    </row>
    <row r="930" spans="1:30" x14ac:dyDescent="0.25">
      <c r="A930">
        <v>462</v>
      </c>
      <c r="B930">
        <v>1066</v>
      </c>
      <c r="C930" t="s">
        <v>631</v>
      </c>
      <c r="D930" t="s">
        <v>389</v>
      </c>
      <c r="E930" t="s">
        <v>59</v>
      </c>
      <c r="F930" t="s">
        <v>632</v>
      </c>
      <c r="G930" t="str">
        <f>"201504001772"</f>
        <v>201504001772</v>
      </c>
      <c r="H930" t="s">
        <v>633</v>
      </c>
      <c r="I930">
        <v>0</v>
      </c>
      <c r="J930">
        <v>0</v>
      </c>
      <c r="K930">
        <v>0</v>
      </c>
      <c r="L930">
        <v>260</v>
      </c>
      <c r="M930">
        <v>0</v>
      </c>
      <c r="N930">
        <v>70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84</v>
      </c>
      <c r="W930">
        <v>588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1949</v>
      </c>
    </row>
    <row r="931" spans="1:30" x14ac:dyDescent="0.25">
      <c r="H931" t="s">
        <v>635</v>
      </c>
    </row>
    <row r="932" spans="1:30" x14ac:dyDescent="0.25">
      <c r="A932">
        <v>463</v>
      </c>
      <c r="B932">
        <v>679</v>
      </c>
      <c r="C932" t="s">
        <v>1950</v>
      </c>
      <c r="D932" t="s">
        <v>225</v>
      </c>
      <c r="E932" t="s">
        <v>272</v>
      </c>
      <c r="F932" t="s">
        <v>1951</v>
      </c>
      <c r="G932" t="str">
        <f>"201504002101"</f>
        <v>201504002101</v>
      </c>
      <c r="H932">
        <v>726</v>
      </c>
      <c r="I932">
        <v>0</v>
      </c>
      <c r="J932">
        <v>0</v>
      </c>
      <c r="K932">
        <v>0</v>
      </c>
      <c r="L932">
        <v>200</v>
      </c>
      <c r="M932">
        <v>0</v>
      </c>
      <c r="N932">
        <v>70</v>
      </c>
      <c r="O932">
        <v>0</v>
      </c>
      <c r="P932">
        <v>30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84</v>
      </c>
      <c r="W932">
        <v>588</v>
      </c>
      <c r="X932">
        <v>0</v>
      </c>
      <c r="Z932">
        <v>0</v>
      </c>
      <c r="AA932">
        <v>0</v>
      </c>
      <c r="AB932">
        <v>0</v>
      </c>
      <c r="AC932">
        <v>0</v>
      </c>
      <c r="AD932">
        <v>1614</v>
      </c>
    </row>
    <row r="933" spans="1:30" x14ac:dyDescent="0.25">
      <c r="H933" t="s">
        <v>1952</v>
      </c>
    </row>
    <row r="934" spans="1:30" x14ac:dyDescent="0.25">
      <c r="A934">
        <v>464</v>
      </c>
      <c r="B934">
        <v>4110</v>
      </c>
      <c r="C934" t="s">
        <v>898</v>
      </c>
      <c r="D934" t="s">
        <v>164</v>
      </c>
      <c r="E934" t="s">
        <v>899</v>
      </c>
      <c r="F934" t="s">
        <v>900</v>
      </c>
      <c r="G934" t="str">
        <f>"201511028989"</f>
        <v>201511028989</v>
      </c>
      <c r="H934" t="s">
        <v>901</v>
      </c>
      <c r="I934">
        <v>0</v>
      </c>
      <c r="J934">
        <v>0</v>
      </c>
      <c r="K934">
        <v>0</v>
      </c>
      <c r="L934">
        <v>200</v>
      </c>
      <c r="M934">
        <v>0</v>
      </c>
      <c r="N934">
        <v>50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84</v>
      </c>
      <c r="W934">
        <v>588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1953</v>
      </c>
    </row>
    <row r="935" spans="1:30" x14ac:dyDescent="0.25">
      <c r="H935" t="s">
        <v>903</v>
      </c>
    </row>
    <row r="936" spans="1:30" x14ac:dyDescent="0.25">
      <c r="A936">
        <v>465</v>
      </c>
      <c r="B936">
        <v>241</v>
      </c>
      <c r="C936" t="s">
        <v>1954</v>
      </c>
      <c r="D936" t="s">
        <v>77</v>
      </c>
      <c r="E936" t="s">
        <v>42</v>
      </c>
      <c r="F936" t="s">
        <v>1955</v>
      </c>
      <c r="G936" t="str">
        <f>"00251082"</f>
        <v>00251082</v>
      </c>
      <c r="H936" t="s">
        <v>176</v>
      </c>
      <c r="I936">
        <v>0</v>
      </c>
      <c r="J936">
        <v>0</v>
      </c>
      <c r="K936">
        <v>0</v>
      </c>
      <c r="L936">
        <v>200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84</v>
      </c>
      <c r="W936">
        <v>588</v>
      </c>
      <c r="X936">
        <v>0</v>
      </c>
      <c r="Z936">
        <v>0</v>
      </c>
      <c r="AA936">
        <v>0</v>
      </c>
      <c r="AB936">
        <v>0</v>
      </c>
      <c r="AC936">
        <v>0</v>
      </c>
      <c r="AD936" t="s">
        <v>1956</v>
      </c>
    </row>
    <row r="937" spans="1:30" x14ac:dyDescent="0.25">
      <c r="H937" t="s">
        <v>1957</v>
      </c>
    </row>
    <row r="938" spans="1:30" x14ac:dyDescent="0.25">
      <c r="A938">
        <v>466</v>
      </c>
      <c r="B938">
        <v>402</v>
      </c>
      <c r="C938" t="s">
        <v>1958</v>
      </c>
      <c r="D938" t="s">
        <v>42</v>
      </c>
      <c r="E938" t="s">
        <v>59</v>
      </c>
      <c r="F938" t="s">
        <v>1959</v>
      </c>
      <c r="G938" t="str">
        <f>"00299936"</f>
        <v>00299936</v>
      </c>
      <c r="H938" t="s">
        <v>1960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30</v>
      </c>
      <c r="O938">
        <v>30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60</v>
      </c>
      <c r="W938">
        <v>420</v>
      </c>
      <c r="X938">
        <v>0</v>
      </c>
      <c r="Z938">
        <v>0</v>
      </c>
      <c r="AA938">
        <v>0</v>
      </c>
      <c r="AB938">
        <v>24</v>
      </c>
      <c r="AC938">
        <v>408</v>
      </c>
      <c r="AD938" t="s">
        <v>1961</v>
      </c>
    </row>
    <row r="939" spans="1:30" x14ac:dyDescent="0.25">
      <c r="H939" t="s">
        <v>1962</v>
      </c>
    </row>
    <row r="940" spans="1:30" x14ac:dyDescent="0.25">
      <c r="A940">
        <v>467</v>
      </c>
      <c r="B940">
        <v>1139</v>
      </c>
      <c r="C940" t="s">
        <v>1963</v>
      </c>
      <c r="D940" t="s">
        <v>89</v>
      </c>
      <c r="E940" t="s">
        <v>42</v>
      </c>
      <c r="F940" t="s">
        <v>1964</v>
      </c>
      <c r="G940" t="str">
        <f>"00300654"</f>
        <v>00300654</v>
      </c>
      <c r="H940" t="s">
        <v>244</v>
      </c>
      <c r="I940">
        <v>0</v>
      </c>
      <c r="J940">
        <v>0</v>
      </c>
      <c r="K940">
        <v>0</v>
      </c>
      <c r="L940">
        <v>200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84</v>
      </c>
      <c r="W940">
        <v>588</v>
      </c>
      <c r="X940">
        <v>0</v>
      </c>
      <c r="Z940">
        <v>0</v>
      </c>
      <c r="AA940">
        <v>0</v>
      </c>
      <c r="AB940">
        <v>0</v>
      </c>
      <c r="AC940">
        <v>0</v>
      </c>
      <c r="AD940" t="s">
        <v>1965</v>
      </c>
    </row>
    <row r="941" spans="1:30" x14ac:dyDescent="0.25">
      <c r="H941">
        <v>1072</v>
      </c>
    </row>
    <row r="942" spans="1:30" x14ac:dyDescent="0.25">
      <c r="A942">
        <v>468</v>
      </c>
      <c r="B942">
        <v>4888</v>
      </c>
      <c r="C942" t="s">
        <v>1966</v>
      </c>
      <c r="D942" t="s">
        <v>14</v>
      </c>
      <c r="E942" t="s">
        <v>1967</v>
      </c>
      <c r="F942" t="s">
        <v>1968</v>
      </c>
      <c r="G942" t="str">
        <f>"200712005256"</f>
        <v>200712005256</v>
      </c>
      <c r="H942" t="s">
        <v>244</v>
      </c>
      <c r="I942">
        <v>0</v>
      </c>
      <c r="J942">
        <v>0</v>
      </c>
      <c r="K942">
        <v>0</v>
      </c>
      <c r="L942">
        <v>0</v>
      </c>
      <c r="M942">
        <v>130</v>
      </c>
      <c r="N942">
        <v>70</v>
      </c>
      <c r="O942">
        <v>0</v>
      </c>
      <c r="P942">
        <v>0</v>
      </c>
      <c r="Q942">
        <v>30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1965</v>
      </c>
    </row>
    <row r="943" spans="1:30" x14ac:dyDescent="0.25">
      <c r="H943" t="s">
        <v>1969</v>
      </c>
    </row>
    <row r="944" spans="1:30" x14ac:dyDescent="0.25">
      <c r="A944">
        <v>469</v>
      </c>
      <c r="B944">
        <v>4882</v>
      </c>
      <c r="C944" t="s">
        <v>1970</v>
      </c>
      <c r="D944" t="s">
        <v>89</v>
      </c>
      <c r="E944" t="s">
        <v>136</v>
      </c>
      <c r="F944" t="s">
        <v>1971</v>
      </c>
      <c r="G944" t="str">
        <f>"00353341"</f>
        <v>00353341</v>
      </c>
      <c r="H944" t="s">
        <v>1972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30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84</v>
      </c>
      <c r="W944">
        <v>588</v>
      </c>
      <c r="X944">
        <v>0</v>
      </c>
      <c r="Z944">
        <v>0</v>
      </c>
      <c r="AA944">
        <v>0</v>
      </c>
      <c r="AB944">
        <v>0</v>
      </c>
      <c r="AC944">
        <v>0</v>
      </c>
      <c r="AD944" t="s">
        <v>1973</v>
      </c>
    </row>
    <row r="945" spans="1:30" x14ac:dyDescent="0.25">
      <c r="H945" t="s">
        <v>1974</v>
      </c>
    </row>
    <row r="946" spans="1:30" x14ac:dyDescent="0.25">
      <c r="A946">
        <v>470</v>
      </c>
      <c r="B946">
        <v>4519</v>
      </c>
      <c r="C946" t="s">
        <v>1975</v>
      </c>
      <c r="D946" t="s">
        <v>363</v>
      </c>
      <c r="E946" t="s">
        <v>148</v>
      </c>
      <c r="F946" t="s">
        <v>1976</v>
      </c>
      <c r="G946" t="str">
        <f>"00295597"</f>
        <v>00295597</v>
      </c>
      <c r="H946">
        <v>792</v>
      </c>
      <c r="I946">
        <v>0</v>
      </c>
      <c r="J946">
        <v>0</v>
      </c>
      <c r="K946">
        <v>0</v>
      </c>
      <c r="L946">
        <v>200</v>
      </c>
      <c r="M946">
        <v>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84</v>
      </c>
      <c r="W946">
        <v>588</v>
      </c>
      <c r="X946">
        <v>0</v>
      </c>
      <c r="Z946">
        <v>0</v>
      </c>
      <c r="AA946">
        <v>0</v>
      </c>
      <c r="AB946">
        <v>0</v>
      </c>
      <c r="AC946">
        <v>0</v>
      </c>
      <c r="AD946">
        <v>1610</v>
      </c>
    </row>
    <row r="947" spans="1:30" x14ac:dyDescent="0.25">
      <c r="H947" t="s">
        <v>1977</v>
      </c>
    </row>
    <row r="948" spans="1:30" x14ac:dyDescent="0.25">
      <c r="A948">
        <v>471</v>
      </c>
      <c r="B948">
        <v>2906</v>
      </c>
      <c r="C948" t="s">
        <v>1978</v>
      </c>
      <c r="D948" t="s">
        <v>203</v>
      </c>
      <c r="E948" t="s">
        <v>103</v>
      </c>
      <c r="F948" t="s">
        <v>1979</v>
      </c>
      <c r="G948" t="str">
        <f>"00363228"</f>
        <v>00363228</v>
      </c>
      <c r="H948" t="s">
        <v>1980</v>
      </c>
      <c r="I948">
        <v>0</v>
      </c>
      <c r="J948">
        <v>0</v>
      </c>
      <c r="K948">
        <v>0</v>
      </c>
      <c r="L948">
        <v>200</v>
      </c>
      <c r="M948">
        <v>0</v>
      </c>
      <c r="N948">
        <v>70</v>
      </c>
      <c r="O948">
        <v>0</v>
      </c>
      <c r="P948">
        <v>50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84</v>
      </c>
      <c r="W948">
        <v>588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1981</v>
      </c>
    </row>
    <row r="949" spans="1:30" x14ac:dyDescent="0.25">
      <c r="H949" t="s">
        <v>1982</v>
      </c>
    </row>
    <row r="950" spans="1:30" x14ac:dyDescent="0.25">
      <c r="A950">
        <v>472</v>
      </c>
      <c r="B950">
        <v>2697</v>
      </c>
      <c r="C950" t="s">
        <v>1983</v>
      </c>
      <c r="D950" t="s">
        <v>72</v>
      </c>
      <c r="E950" t="s">
        <v>42</v>
      </c>
      <c r="F950" t="s">
        <v>1984</v>
      </c>
      <c r="G950" t="str">
        <f>"00331791"</f>
        <v>00331791</v>
      </c>
      <c r="H950" t="s">
        <v>1769</v>
      </c>
      <c r="I950">
        <v>0</v>
      </c>
      <c r="J950">
        <v>0</v>
      </c>
      <c r="K950">
        <v>0</v>
      </c>
      <c r="L950">
        <v>200</v>
      </c>
      <c r="M950">
        <v>0</v>
      </c>
      <c r="N950">
        <v>70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84</v>
      </c>
      <c r="W950">
        <v>588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1985</v>
      </c>
    </row>
    <row r="951" spans="1:30" x14ac:dyDescent="0.25">
      <c r="H951" t="s">
        <v>1986</v>
      </c>
    </row>
    <row r="952" spans="1:30" x14ac:dyDescent="0.25">
      <c r="A952">
        <v>473</v>
      </c>
      <c r="B952">
        <v>3159</v>
      </c>
      <c r="C952" t="s">
        <v>1987</v>
      </c>
      <c r="D952" t="s">
        <v>984</v>
      </c>
      <c r="E952" t="s">
        <v>59</v>
      </c>
      <c r="F952" t="s">
        <v>1988</v>
      </c>
      <c r="G952" t="str">
        <f>"200809000986"</f>
        <v>200809000986</v>
      </c>
      <c r="H952" t="s">
        <v>1769</v>
      </c>
      <c r="I952">
        <v>0</v>
      </c>
      <c r="J952">
        <v>0</v>
      </c>
      <c r="K952">
        <v>0</v>
      </c>
      <c r="L952">
        <v>200</v>
      </c>
      <c r="M952">
        <v>0</v>
      </c>
      <c r="N952">
        <v>70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84</v>
      </c>
      <c r="W952">
        <v>588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1985</v>
      </c>
    </row>
    <row r="953" spans="1:30" x14ac:dyDescent="0.25">
      <c r="H953" t="s">
        <v>1989</v>
      </c>
    </row>
    <row r="954" spans="1:30" x14ac:dyDescent="0.25">
      <c r="A954">
        <v>474</v>
      </c>
      <c r="B954">
        <v>2379</v>
      </c>
      <c r="C954" t="s">
        <v>1990</v>
      </c>
      <c r="D954" t="s">
        <v>408</v>
      </c>
      <c r="E954" t="s">
        <v>28</v>
      </c>
      <c r="F954" t="s">
        <v>1991</v>
      </c>
      <c r="G954" t="str">
        <f>"201412001085"</f>
        <v>201412001085</v>
      </c>
      <c r="H954">
        <v>748</v>
      </c>
      <c r="I954">
        <v>0</v>
      </c>
      <c r="J954">
        <v>0</v>
      </c>
      <c r="K954">
        <v>0</v>
      </c>
      <c r="L954">
        <v>200</v>
      </c>
      <c r="M954">
        <v>0</v>
      </c>
      <c r="N954">
        <v>70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84</v>
      </c>
      <c r="W954">
        <v>588</v>
      </c>
      <c r="X954">
        <v>0</v>
      </c>
      <c r="Z954">
        <v>0</v>
      </c>
      <c r="AA954">
        <v>0</v>
      </c>
      <c r="AB954">
        <v>0</v>
      </c>
      <c r="AC954">
        <v>0</v>
      </c>
      <c r="AD954">
        <v>1606</v>
      </c>
    </row>
    <row r="955" spans="1:30" x14ac:dyDescent="0.25">
      <c r="H955" t="s">
        <v>1992</v>
      </c>
    </row>
    <row r="956" spans="1:30" x14ac:dyDescent="0.25">
      <c r="A956">
        <v>475</v>
      </c>
      <c r="B956">
        <v>4529</v>
      </c>
      <c r="C956" t="s">
        <v>1802</v>
      </c>
      <c r="D956" t="s">
        <v>59</v>
      </c>
      <c r="E956" t="s">
        <v>225</v>
      </c>
      <c r="F956" t="s">
        <v>1993</v>
      </c>
      <c r="G956" t="str">
        <f>"00155944"</f>
        <v>00155944</v>
      </c>
      <c r="H956" t="s">
        <v>916</v>
      </c>
      <c r="I956">
        <v>0</v>
      </c>
      <c r="J956">
        <v>0</v>
      </c>
      <c r="K956">
        <v>0</v>
      </c>
      <c r="L956">
        <v>200</v>
      </c>
      <c r="M956">
        <v>0</v>
      </c>
      <c r="N956">
        <v>30</v>
      </c>
      <c r="O956">
        <v>30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84</v>
      </c>
      <c r="W956">
        <v>588</v>
      </c>
      <c r="X956">
        <v>0</v>
      </c>
      <c r="Z956">
        <v>0</v>
      </c>
      <c r="AA956">
        <v>0</v>
      </c>
      <c r="AB956">
        <v>0</v>
      </c>
      <c r="AC956">
        <v>0</v>
      </c>
      <c r="AD956" t="s">
        <v>1994</v>
      </c>
    </row>
    <row r="957" spans="1:30" x14ac:dyDescent="0.25">
      <c r="H957" t="s">
        <v>1995</v>
      </c>
    </row>
    <row r="958" spans="1:30" x14ac:dyDescent="0.25">
      <c r="A958">
        <v>476</v>
      </c>
      <c r="B958">
        <v>2479</v>
      </c>
      <c r="C958" t="s">
        <v>609</v>
      </c>
      <c r="D958" t="s">
        <v>59</v>
      </c>
      <c r="E958" t="s">
        <v>148</v>
      </c>
      <c r="F958" t="s">
        <v>1996</v>
      </c>
      <c r="G958" t="str">
        <f>"201410006983"</f>
        <v>201410006983</v>
      </c>
      <c r="H958" t="s">
        <v>656</v>
      </c>
      <c r="I958">
        <v>0</v>
      </c>
      <c r="J958">
        <v>0</v>
      </c>
      <c r="K958">
        <v>0</v>
      </c>
      <c r="L958">
        <v>200</v>
      </c>
      <c r="M958">
        <v>0</v>
      </c>
      <c r="N958">
        <v>70</v>
      </c>
      <c r="O958">
        <v>0</v>
      </c>
      <c r="P958">
        <v>30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84</v>
      </c>
      <c r="W958">
        <v>588</v>
      </c>
      <c r="X958">
        <v>0</v>
      </c>
      <c r="Z958">
        <v>0</v>
      </c>
      <c r="AA958">
        <v>0</v>
      </c>
      <c r="AB958">
        <v>0</v>
      </c>
      <c r="AC958">
        <v>0</v>
      </c>
      <c r="AD958" t="s">
        <v>1997</v>
      </c>
    </row>
    <row r="959" spans="1:30" x14ac:dyDescent="0.25">
      <c r="H959">
        <v>1089</v>
      </c>
    </row>
    <row r="960" spans="1:30" x14ac:dyDescent="0.25">
      <c r="A960">
        <v>477</v>
      </c>
      <c r="B960">
        <v>3428</v>
      </c>
      <c r="C960" t="s">
        <v>1998</v>
      </c>
      <c r="D960" t="s">
        <v>42</v>
      </c>
      <c r="E960" t="s">
        <v>148</v>
      </c>
      <c r="F960" t="s">
        <v>1999</v>
      </c>
      <c r="G960" t="str">
        <f>"201504000474"</f>
        <v>201504000474</v>
      </c>
      <c r="H960" t="s">
        <v>74</v>
      </c>
      <c r="I960">
        <v>0</v>
      </c>
      <c r="J960">
        <v>0</v>
      </c>
      <c r="K960">
        <v>0</v>
      </c>
      <c r="L960">
        <v>200</v>
      </c>
      <c r="M960">
        <v>0</v>
      </c>
      <c r="N960">
        <v>70</v>
      </c>
      <c r="O960">
        <v>0</v>
      </c>
      <c r="P960">
        <v>30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75</v>
      </c>
      <c r="W960">
        <v>525</v>
      </c>
      <c r="X960">
        <v>0</v>
      </c>
      <c r="Z960">
        <v>0</v>
      </c>
      <c r="AA960">
        <v>0</v>
      </c>
      <c r="AB960">
        <v>0</v>
      </c>
      <c r="AC960">
        <v>0</v>
      </c>
      <c r="AD960" t="s">
        <v>2000</v>
      </c>
    </row>
    <row r="961" spans="1:30" x14ac:dyDescent="0.25">
      <c r="H961" t="s">
        <v>2001</v>
      </c>
    </row>
    <row r="962" spans="1:30" x14ac:dyDescent="0.25">
      <c r="A962">
        <v>478</v>
      </c>
      <c r="B962">
        <v>803</v>
      </c>
      <c r="C962" t="s">
        <v>2002</v>
      </c>
      <c r="D962" t="s">
        <v>556</v>
      </c>
      <c r="E962" t="s">
        <v>77</v>
      </c>
      <c r="F962" t="s">
        <v>2003</v>
      </c>
      <c r="G962" t="str">
        <f>"00040177"</f>
        <v>00040177</v>
      </c>
      <c r="H962" t="s">
        <v>492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60</v>
      </c>
      <c r="W962">
        <v>420</v>
      </c>
      <c r="X962">
        <v>0</v>
      </c>
      <c r="Z962">
        <v>0</v>
      </c>
      <c r="AA962">
        <v>0</v>
      </c>
      <c r="AB962">
        <v>24</v>
      </c>
      <c r="AC962">
        <v>408</v>
      </c>
      <c r="AD962" t="s">
        <v>2000</v>
      </c>
    </row>
    <row r="963" spans="1:30" x14ac:dyDescent="0.25">
      <c r="H963" t="s">
        <v>2004</v>
      </c>
    </row>
    <row r="964" spans="1:30" x14ac:dyDescent="0.25">
      <c r="A964">
        <v>479</v>
      </c>
      <c r="B964">
        <v>4225</v>
      </c>
      <c r="C964" t="s">
        <v>2005</v>
      </c>
      <c r="D964" t="s">
        <v>637</v>
      </c>
      <c r="E964" t="s">
        <v>148</v>
      </c>
      <c r="F964" t="s">
        <v>2006</v>
      </c>
      <c r="G964" t="str">
        <f>"00153772"</f>
        <v>00153772</v>
      </c>
      <c r="H964" t="s">
        <v>936</v>
      </c>
      <c r="I964">
        <v>0</v>
      </c>
      <c r="J964">
        <v>0</v>
      </c>
      <c r="K964">
        <v>0</v>
      </c>
      <c r="L964">
        <v>200</v>
      </c>
      <c r="M964">
        <v>0</v>
      </c>
      <c r="N964">
        <v>50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84</v>
      </c>
      <c r="W964">
        <v>588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2007</v>
      </c>
    </row>
    <row r="965" spans="1:30" x14ac:dyDescent="0.25">
      <c r="H965" t="s">
        <v>2008</v>
      </c>
    </row>
    <row r="966" spans="1:30" x14ac:dyDescent="0.25">
      <c r="A966">
        <v>480</v>
      </c>
      <c r="B966">
        <v>1248</v>
      </c>
      <c r="C966" t="s">
        <v>2009</v>
      </c>
      <c r="D966" t="s">
        <v>14</v>
      </c>
      <c r="E966" t="s">
        <v>42</v>
      </c>
      <c r="F966" t="s">
        <v>2010</v>
      </c>
      <c r="G966" t="str">
        <f>"201406017211"</f>
        <v>201406017211</v>
      </c>
      <c r="H966" t="s">
        <v>802</v>
      </c>
      <c r="I966">
        <v>0</v>
      </c>
      <c r="J966">
        <v>0</v>
      </c>
      <c r="K966">
        <v>0</v>
      </c>
      <c r="L966">
        <v>200</v>
      </c>
      <c r="M966">
        <v>0</v>
      </c>
      <c r="N966">
        <v>70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84</v>
      </c>
      <c r="W966">
        <v>588</v>
      </c>
      <c r="X966">
        <v>0</v>
      </c>
      <c r="Z966">
        <v>0</v>
      </c>
      <c r="AA966">
        <v>0</v>
      </c>
      <c r="AB966">
        <v>0</v>
      </c>
      <c r="AC966">
        <v>0</v>
      </c>
      <c r="AD966" t="s">
        <v>2011</v>
      </c>
    </row>
    <row r="967" spans="1:30" x14ac:dyDescent="0.25">
      <c r="H967" t="s">
        <v>2012</v>
      </c>
    </row>
    <row r="968" spans="1:30" x14ac:dyDescent="0.25">
      <c r="A968">
        <v>481</v>
      </c>
      <c r="B968">
        <v>5014</v>
      </c>
      <c r="C968" t="s">
        <v>2013</v>
      </c>
      <c r="D968" t="s">
        <v>14</v>
      </c>
      <c r="E968" t="s">
        <v>135</v>
      </c>
      <c r="F968" t="s">
        <v>2014</v>
      </c>
      <c r="G968" t="str">
        <f>"00369355"</f>
        <v>00369355</v>
      </c>
      <c r="H968" t="s">
        <v>802</v>
      </c>
      <c r="I968">
        <v>0</v>
      </c>
      <c r="J968">
        <v>0</v>
      </c>
      <c r="K968">
        <v>0</v>
      </c>
      <c r="L968">
        <v>200</v>
      </c>
      <c r="M968">
        <v>0</v>
      </c>
      <c r="N968">
        <v>70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84</v>
      </c>
      <c r="W968">
        <v>588</v>
      </c>
      <c r="X968">
        <v>0</v>
      </c>
      <c r="Z968">
        <v>0</v>
      </c>
      <c r="AA968">
        <v>0</v>
      </c>
      <c r="AB968">
        <v>0</v>
      </c>
      <c r="AC968">
        <v>0</v>
      </c>
      <c r="AD968" t="s">
        <v>2011</v>
      </c>
    </row>
    <row r="969" spans="1:30" x14ac:dyDescent="0.25">
      <c r="H969" t="s">
        <v>2015</v>
      </c>
    </row>
    <row r="970" spans="1:30" x14ac:dyDescent="0.25">
      <c r="A970">
        <v>482</v>
      </c>
      <c r="B970">
        <v>443</v>
      </c>
      <c r="C970" t="s">
        <v>2016</v>
      </c>
      <c r="D970" t="s">
        <v>2017</v>
      </c>
      <c r="E970" t="s">
        <v>2018</v>
      </c>
      <c r="F970" t="s">
        <v>2019</v>
      </c>
      <c r="G970" t="str">
        <f>"00018870"</f>
        <v>00018870</v>
      </c>
      <c r="H970" t="s">
        <v>752</v>
      </c>
      <c r="I970">
        <v>0</v>
      </c>
      <c r="J970">
        <v>0</v>
      </c>
      <c r="K970">
        <v>0</v>
      </c>
      <c r="L970">
        <v>200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84</v>
      </c>
      <c r="W970">
        <v>588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2020</v>
      </c>
    </row>
    <row r="971" spans="1:30" x14ac:dyDescent="0.25">
      <c r="H971" t="s">
        <v>729</v>
      </c>
    </row>
    <row r="972" spans="1:30" x14ac:dyDescent="0.25">
      <c r="A972">
        <v>483</v>
      </c>
      <c r="B972">
        <v>4562</v>
      </c>
      <c r="C972" t="s">
        <v>2021</v>
      </c>
      <c r="D972" t="s">
        <v>89</v>
      </c>
      <c r="E972" t="s">
        <v>77</v>
      </c>
      <c r="F972" t="s">
        <v>2022</v>
      </c>
      <c r="G972" t="str">
        <f>"201402005305"</f>
        <v>201402005305</v>
      </c>
      <c r="H972" t="s">
        <v>479</v>
      </c>
      <c r="I972">
        <v>0</v>
      </c>
      <c r="J972">
        <v>0</v>
      </c>
      <c r="K972">
        <v>0</v>
      </c>
      <c r="L972">
        <v>200</v>
      </c>
      <c r="M972">
        <v>0</v>
      </c>
      <c r="N972">
        <v>70</v>
      </c>
      <c r="O972">
        <v>0</v>
      </c>
      <c r="P972">
        <v>30</v>
      </c>
      <c r="Q972">
        <v>30</v>
      </c>
      <c r="R972">
        <v>0</v>
      </c>
      <c r="S972">
        <v>0</v>
      </c>
      <c r="T972">
        <v>0</v>
      </c>
      <c r="U972">
        <v>0</v>
      </c>
      <c r="V972">
        <v>56</v>
      </c>
      <c r="W972">
        <v>392</v>
      </c>
      <c r="X972">
        <v>6</v>
      </c>
      <c r="Y972">
        <v>1084</v>
      </c>
      <c r="Z972">
        <v>0</v>
      </c>
      <c r="AA972">
        <v>0</v>
      </c>
      <c r="AB972">
        <v>0</v>
      </c>
      <c r="AC972">
        <v>0</v>
      </c>
      <c r="AD972" t="s">
        <v>2023</v>
      </c>
    </row>
    <row r="973" spans="1:30" x14ac:dyDescent="0.25">
      <c r="H973" t="s">
        <v>2024</v>
      </c>
    </row>
    <row r="974" spans="1:30" x14ac:dyDescent="0.25">
      <c r="A974">
        <v>484</v>
      </c>
      <c r="B974">
        <v>4562</v>
      </c>
      <c r="C974" t="s">
        <v>2021</v>
      </c>
      <c r="D974" t="s">
        <v>89</v>
      </c>
      <c r="E974" t="s">
        <v>77</v>
      </c>
      <c r="F974" t="s">
        <v>2022</v>
      </c>
      <c r="G974" t="str">
        <f>"201402005305"</f>
        <v>201402005305</v>
      </c>
      <c r="H974" t="s">
        <v>479</v>
      </c>
      <c r="I974">
        <v>0</v>
      </c>
      <c r="J974">
        <v>0</v>
      </c>
      <c r="K974">
        <v>0</v>
      </c>
      <c r="L974">
        <v>200</v>
      </c>
      <c r="M974">
        <v>0</v>
      </c>
      <c r="N974">
        <v>70</v>
      </c>
      <c r="O974">
        <v>0</v>
      </c>
      <c r="P974">
        <v>30</v>
      </c>
      <c r="Q974">
        <v>30</v>
      </c>
      <c r="R974">
        <v>0</v>
      </c>
      <c r="S974">
        <v>0</v>
      </c>
      <c r="T974">
        <v>0</v>
      </c>
      <c r="U974">
        <v>0</v>
      </c>
      <c r="V974">
        <v>56</v>
      </c>
      <c r="W974">
        <v>392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2023</v>
      </c>
    </row>
    <row r="975" spans="1:30" x14ac:dyDescent="0.25">
      <c r="H975" t="s">
        <v>2024</v>
      </c>
    </row>
    <row r="976" spans="1:30" x14ac:dyDescent="0.25">
      <c r="A976">
        <v>485</v>
      </c>
      <c r="B976">
        <v>657</v>
      </c>
      <c r="C976" t="s">
        <v>2025</v>
      </c>
      <c r="D976" t="s">
        <v>2026</v>
      </c>
      <c r="E976" t="s">
        <v>35</v>
      </c>
      <c r="F976" t="s">
        <v>2027</v>
      </c>
      <c r="G976" t="str">
        <f>"00015806"</f>
        <v>00015806</v>
      </c>
      <c r="H976" t="s">
        <v>1758</v>
      </c>
      <c r="I976">
        <v>0</v>
      </c>
      <c r="J976">
        <v>0</v>
      </c>
      <c r="K976">
        <v>0</v>
      </c>
      <c r="L976">
        <v>200</v>
      </c>
      <c r="M976">
        <v>0</v>
      </c>
      <c r="N976">
        <v>30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84</v>
      </c>
      <c r="W976">
        <v>588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2028</v>
      </c>
    </row>
    <row r="977" spans="1:30" x14ac:dyDescent="0.25">
      <c r="H977" t="s">
        <v>2029</v>
      </c>
    </row>
    <row r="978" spans="1:30" x14ac:dyDescent="0.25">
      <c r="A978">
        <v>486</v>
      </c>
      <c r="B978">
        <v>2309</v>
      </c>
      <c r="C978" t="s">
        <v>2030</v>
      </c>
      <c r="D978" t="s">
        <v>59</v>
      </c>
      <c r="E978" t="s">
        <v>225</v>
      </c>
      <c r="F978" t="s">
        <v>2031</v>
      </c>
      <c r="G978" t="str">
        <f>"00026053"</f>
        <v>00026053</v>
      </c>
      <c r="H978" t="s">
        <v>2032</v>
      </c>
      <c r="I978">
        <v>0</v>
      </c>
      <c r="J978">
        <v>0</v>
      </c>
      <c r="K978">
        <v>0</v>
      </c>
      <c r="L978">
        <v>200</v>
      </c>
      <c r="M978">
        <v>0</v>
      </c>
      <c r="N978">
        <v>70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84</v>
      </c>
      <c r="W978">
        <v>588</v>
      </c>
      <c r="X978">
        <v>0</v>
      </c>
      <c r="Z978">
        <v>0</v>
      </c>
      <c r="AA978">
        <v>0</v>
      </c>
      <c r="AB978">
        <v>0</v>
      </c>
      <c r="AC978">
        <v>0</v>
      </c>
      <c r="AD978" t="s">
        <v>2033</v>
      </c>
    </row>
    <row r="979" spans="1:30" x14ac:dyDescent="0.25">
      <c r="H979" t="s">
        <v>2034</v>
      </c>
    </row>
    <row r="980" spans="1:30" x14ac:dyDescent="0.25">
      <c r="A980">
        <v>487</v>
      </c>
      <c r="B980">
        <v>1374</v>
      </c>
      <c r="C980" t="s">
        <v>2035</v>
      </c>
      <c r="D980" t="s">
        <v>59</v>
      </c>
      <c r="E980" t="s">
        <v>28</v>
      </c>
      <c r="F980" t="s">
        <v>2036</v>
      </c>
      <c r="G980" t="str">
        <f>"201504002035"</f>
        <v>201504002035</v>
      </c>
      <c r="H980" t="s">
        <v>1769</v>
      </c>
      <c r="I980">
        <v>0</v>
      </c>
      <c r="J980">
        <v>0</v>
      </c>
      <c r="K980">
        <v>0</v>
      </c>
      <c r="L980">
        <v>200</v>
      </c>
      <c r="M980">
        <v>0</v>
      </c>
      <c r="N980">
        <v>30</v>
      </c>
      <c r="O980">
        <v>30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84</v>
      </c>
      <c r="W980">
        <v>588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2037</v>
      </c>
    </row>
    <row r="981" spans="1:30" x14ac:dyDescent="0.25">
      <c r="H981" t="s">
        <v>2038</v>
      </c>
    </row>
    <row r="982" spans="1:30" x14ac:dyDescent="0.25">
      <c r="A982">
        <v>488</v>
      </c>
      <c r="B982">
        <v>3296</v>
      </c>
      <c r="C982" t="s">
        <v>2039</v>
      </c>
      <c r="D982" t="s">
        <v>300</v>
      </c>
      <c r="E982" t="s">
        <v>108</v>
      </c>
      <c r="F982" t="s">
        <v>2040</v>
      </c>
      <c r="G982" t="str">
        <f>"00363256"</f>
        <v>00363256</v>
      </c>
      <c r="H982">
        <v>737</v>
      </c>
      <c r="I982">
        <v>0</v>
      </c>
      <c r="J982">
        <v>0</v>
      </c>
      <c r="K982">
        <v>0</v>
      </c>
      <c r="L982">
        <v>200</v>
      </c>
      <c r="M982">
        <v>0</v>
      </c>
      <c r="N982">
        <v>50</v>
      </c>
      <c r="O982">
        <v>0</v>
      </c>
      <c r="P982">
        <v>50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80</v>
      </c>
      <c r="W982">
        <v>560</v>
      </c>
      <c r="X982">
        <v>0</v>
      </c>
      <c r="Z982">
        <v>0</v>
      </c>
      <c r="AA982">
        <v>0</v>
      </c>
      <c r="AB982">
        <v>0</v>
      </c>
      <c r="AC982">
        <v>0</v>
      </c>
      <c r="AD982">
        <v>1597</v>
      </c>
    </row>
    <row r="983" spans="1:30" x14ac:dyDescent="0.25">
      <c r="H983" t="s">
        <v>2041</v>
      </c>
    </row>
    <row r="984" spans="1:30" x14ac:dyDescent="0.25">
      <c r="A984">
        <v>489</v>
      </c>
      <c r="B984">
        <v>2394</v>
      </c>
      <c r="C984" t="s">
        <v>2042</v>
      </c>
      <c r="D984" t="s">
        <v>2043</v>
      </c>
      <c r="E984" t="s">
        <v>731</v>
      </c>
      <c r="F984" t="s">
        <v>2044</v>
      </c>
      <c r="G984" t="str">
        <f>"00334660"</f>
        <v>00334660</v>
      </c>
      <c r="H984" t="s">
        <v>359</v>
      </c>
      <c r="I984">
        <v>0</v>
      </c>
      <c r="J984">
        <v>0</v>
      </c>
      <c r="K984">
        <v>0</v>
      </c>
      <c r="L984">
        <v>200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84</v>
      </c>
      <c r="W984">
        <v>588</v>
      </c>
      <c r="X984">
        <v>0</v>
      </c>
      <c r="Z984">
        <v>0</v>
      </c>
      <c r="AA984">
        <v>0</v>
      </c>
      <c r="AB984">
        <v>0</v>
      </c>
      <c r="AC984">
        <v>0</v>
      </c>
      <c r="AD984" t="s">
        <v>2045</v>
      </c>
    </row>
    <row r="985" spans="1:30" x14ac:dyDescent="0.25">
      <c r="H985" t="s">
        <v>2046</v>
      </c>
    </row>
    <row r="986" spans="1:30" x14ac:dyDescent="0.25">
      <c r="A986">
        <v>490</v>
      </c>
      <c r="B986">
        <v>3398</v>
      </c>
      <c r="C986" t="s">
        <v>2047</v>
      </c>
      <c r="D986" t="s">
        <v>327</v>
      </c>
      <c r="E986" t="s">
        <v>66</v>
      </c>
      <c r="F986" t="s">
        <v>2048</v>
      </c>
      <c r="G986" t="str">
        <f>"00321181"</f>
        <v>00321181</v>
      </c>
      <c r="H986" t="s">
        <v>381</v>
      </c>
      <c r="I986">
        <v>0</v>
      </c>
      <c r="J986">
        <v>0</v>
      </c>
      <c r="K986">
        <v>0</v>
      </c>
      <c r="L986">
        <v>200</v>
      </c>
      <c r="M986">
        <v>0</v>
      </c>
      <c r="N986">
        <v>30</v>
      </c>
      <c r="O986">
        <v>50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84</v>
      </c>
      <c r="W986">
        <v>588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2049</v>
      </c>
    </row>
    <row r="987" spans="1:30" x14ac:dyDescent="0.25">
      <c r="H987">
        <v>1087</v>
      </c>
    </row>
    <row r="988" spans="1:30" x14ac:dyDescent="0.25">
      <c r="A988">
        <v>491</v>
      </c>
      <c r="B988">
        <v>197</v>
      </c>
      <c r="C988" t="s">
        <v>2050</v>
      </c>
      <c r="D988" t="s">
        <v>42</v>
      </c>
      <c r="E988" t="s">
        <v>193</v>
      </c>
      <c r="F988" t="s">
        <v>2051</v>
      </c>
      <c r="G988" t="str">
        <f>"00293799"</f>
        <v>00293799</v>
      </c>
      <c r="H988" t="s">
        <v>2052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30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60</v>
      </c>
      <c r="W988">
        <v>420</v>
      </c>
      <c r="X988">
        <v>0</v>
      </c>
      <c r="Z988">
        <v>0</v>
      </c>
      <c r="AA988">
        <v>0</v>
      </c>
      <c r="AB988">
        <v>24</v>
      </c>
      <c r="AC988">
        <v>408</v>
      </c>
      <c r="AD988" t="s">
        <v>2053</v>
      </c>
    </row>
    <row r="989" spans="1:30" x14ac:dyDescent="0.25">
      <c r="H989">
        <v>1089</v>
      </c>
    </row>
    <row r="990" spans="1:30" x14ac:dyDescent="0.25">
      <c r="A990">
        <v>492</v>
      </c>
      <c r="B990">
        <v>459</v>
      </c>
      <c r="C990" t="s">
        <v>2054</v>
      </c>
      <c r="D990" t="s">
        <v>59</v>
      </c>
      <c r="E990" t="s">
        <v>731</v>
      </c>
      <c r="F990" t="s">
        <v>2055</v>
      </c>
      <c r="G990" t="str">
        <f>"201503000479"</f>
        <v>201503000479</v>
      </c>
      <c r="H990" t="s">
        <v>2056</v>
      </c>
      <c r="I990">
        <v>0</v>
      </c>
      <c r="J990">
        <v>0</v>
      </c>
      <c r="K990">
        <v>0</v>
      </c>
      <c r="L990">
        <v>200</v>
      </c>
      <c r="M990">
        <v>0</v>
      </c>
      <c r="N990">
        <v>70</v>
      </c>
      <c r="O990">
        <v>30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84</v>
      </c>
      <c r="W990">
        <v>588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2057</v>
      </c>
    </row>
    <row r="991" spans="1:30" x14ac:dyDescent="0.25">
      <c r="H991" t="s">
        <v>2058</v>
      </c>
    </row>
    <row r="992" spans="1:30" x14ac:dyDescent="0.25">
      <c r="A992">
        <v>493</v>
      </c>
      <c r="B992">
        <v>283</v>
      </c>
      <c r="C992" t="s">
        <v>659</v>
      </c>
      <c r="D992" t="s">
        <v>66</v>
      </c>
      <c r="E992" t="s">
        <v>135</v>
      </c>
      <c r="F992" t="s">
        <v>660</v>
      </c>
      <c r="G992" t="str">
        <f>"201504000601"</f>
        <v>201504000601</v>
      </c>
      <c r="H992" t="s">
        <v>492</v>
      </c>
      <c r="I992">
        <v>0</v>
      </c>
      <c r="J992">
        <v>0</v>
      </c>
      <c r="K992">
        <v>0</v>
      </c>
      <c r="L992">
        <v>200</v>
      </c>
      <c r="M992">
        <v>0</v>
      </c>
      <c r="N992">
        <v>30</v>
      </c>
      <c r="O992">
        <v>0</v>
      </c>
      <c r="P992">
        <v>30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84</v>
      </c>
      <c r="W992">
        <v>588</v>
      </c>
      <c r="X992">
        <v>0</v>
      </c>
      <c r="Z992">
        <v>0</v>
      </c>
      <c r="AA992">
        <v>0</v>
      </c>
      <c r="AB992">
        <v>0</v>
      </c>
      <c r="AC992">
        <v>0</v>
      </c>
      <c r="AD992" t="s">
        <v>2059</v>
      </c>
    </row>
    <row r="993" spans="1:30" x14ac:dyDescent="0.25">
      <c r="H993" t="s">
        <v>662</v>
      </c>
    </row>
    <row r="994" spans="1:30" x14ac:dyDescent="0.25">
      <c r="A994">
        <v>494</v>
      </c>
      <c r="B994">
        <v>350</v>
      </c>
      <c r="C994" t="s">
        <v>2060</v>
      </c>
      <c r="D994" t="s">
        <v>59</v>
      </c>
      <c r="E994" t="s">
        <v>203</v>
      </c>
      <c r="F994" t="s">
        <v>2061</v>
      </c>
      <c r="G994" t="str">
        <f>"00297649"</f>
        <v>00297649</v>
      </c>
      <c r="H994" t="s">
        <v>927</v>
      </c>
      <c r="I994">
        <v>0</v>
      </c>
      <c r="J994">
        <v>0</v>
      </c>
      <c r="K994">
        <v>0</v>
      </c>
      <c r="L994">
        <v>200</v>
      </c>
      <c r="M994">
        <v>0</v>
      </c>
      <c r="N994">
        <v>70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67</v>
      </c>
      <c r="W994">
        <v>469</v>
      </c>
      <c r="X994">
        <v>0</v>
      </c>
      <c r="Z994">
        <v>0</v>
      </c>
      <c r="AA994">
        <v>0</v>
      </c>
      <c r="AB994">
        <v>0</v>
      </c>
      <c r="AC994">
        <v>0</v>
      </c>
      <c r="AD994" t="s">
        <v>2062</v>
      </c>
    </row>
    <row r="995" spans="1:30" x14ac:dyDescent="0.25">
      <c r="H995" t="s">
        <v>2063</v>
      </c>
    </row>
    <row r="996" spans="1:30" x14ac:dyDescent="0.25">
      <c r="A996">
        <v>495</v>
      </c>
      <c r="B996">
        <v>5196</v>
      </c>
      <c r="C996" t="s">
        <v>2064</v>
      </c>
      <c r="D996" t="s">
        <v>327</v>
      </c>
      <c r="E996" t="s">
        <v>702</v>
      </c>
      <c r="F996" t="s">
        <v>2065</v>
      </c>
      <c r="G996" t="str">
        <f>"201402009412"</f>
        <v>201402009412</v>
      </c>
      <c r="H996" t="s">
        <v>1146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70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60</v>
      </c>
      <c r="W996">
        <v>420</v>
      </c>
      <c r="X996">
        <v>0</v>
      </c>
      <c r="Z996">
        <v>0</v>
      </c>
      <c r="AA996">
        <v>0</v>
      </c>
      <c r="AB996">
        <v>24</v>
      </c>
      <c r="AC996">
        <v>408</v>
      </c>
      <c r="AD996" t="s">
        <v>2066</v>
      </c>
    </row>
    <row r="997" spans="1:30" x14ac:dyDescent="0.25">
      <c r="H997" t="s">
        <v>2067</v>
      </c>
    </row>
    <row r="998" spans="1:30" x14ac:dyDescent="0.25">
      <c r="A998">
        <v>496</v>
      </c>
      <c r="B998">
        <v>3515</v>
      </c>
      <c r="C998" t="s">
        <v>2068</v>
      </c>
      <c r="D998" t="s">
        <v>66</v>
      </c>
      <c r="E998" t="s">
        <v>28</v>
      </c>
      <c r="F998" t="s">
        <v>2069</v>
      </c>
      <c r="G998" t="str">
        <f>"00354892"</f>
        <v>00354892</v>
      </c>
      <c r="H998" t="s">
        <v>1146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70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60</v>
      </c>
      <c r="W998">
        <v>420</v>
      </c>
      <c r="X998">
        <v>0</v>
      </c>
      <c r="Z998">
        <v>0</v>
      </c>
      <c r="AA998">
        <v>0</v>
      </c>
      <c r="AB998">
        <v>24</v>
      </c>
      <c r="AC998">
        <v>408</v>
      </c>
      <c r="AD998" t="s">
        <v>2066</v>
      </c>
    </row>
    <row r="999" spans="1:30" x14ac:dyDescent="0.25">
      <c r="H999" t="s">
        <v>2070</v>
      </c>
    </row>
    <row r="1000" spans="1:30" x14ac:dyDescent="0.25">
      <c r="A1000">
        <v>497</v>
      </c>
      <c r="B1000">
        <v>3675</v>
      </c>
      <c r="C1000" t="s">
        <v>2071</v>
      </c>
      <c r="D1000" t="s">
        <v>272</v>
      </c>
      <c r="E1000" t="s">
        <v>203</v>
      </c>
      <c r="F1000" t="s">
        <v>2072</v>
      </c>
      <c r="G1000" t="str">
        <f>"201406003297"</f>
        <v>201406003297</v>
      </c>
      <c r="H1000" t="s">
        <v>239</v>
      </c>
      <c r="I1000">
        <v>0</v>
      </c>
      <c r="J1000">
        <v>0</v>
      </c>
      <c r="K1000">
        <v>0</v>
      </c>
      <c r="L1000">
        <v>200</v>
      </c>
      <c r="M1000">
        <v>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84</v>
      </c>
      <c r="W1000">
        <v>588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2073</v>
      </c>
    </row>
    <row r="1001" spans="1:30" x14ac:dyDescent="0.25">
      <c r="H1001" t="s">
        <v>2074</v>
      </c>
    </row>
    <row r="1002" spans="1:30" x14ac:dyDescent="0.25">
      <c r="A1002">
        <v>498</v>
      </c>
      <c r="B1002">
        <v>2778</v>
      </c>
      <c r="C1002" t="s">
        <v>2075</v>
      </c>
      <c r="D1002" t="s">
        <v>1210</v>
      </c>
      <c r="E1002" t="s">
        <v>473</v>
      </c>
      <c r="F1002" t="s">
        <v>2076</v>
      </c>
      <c r="G1002" t="str">
        <f>"00041056"</f>
        <v>00041056</v>
      </c>
      <c r="H1002" t="s">
        <v>239</v>
      </c>
      <c r="I1002">
        <v>0</v>
      </c>
      <c r="J1002">
        <v>0</v>
      </c>
      <c r="K1002">
        <v>0</v>
      </c>
      <c r="L1002">
        <v>200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84</v>
      </c>
      <c r="W1002">
        <v>588</v>
      </c>
      <c r="X1002">
        <v>0</v>
      </c>
      <c r="Z1002">
        <v>0</v>
      </c>
      <c r="AA1002">
        <v>0</v>
      </c>
      <c r="AB1002">
        <v>0</v>
      </c>
      <c r="AC1002">
        <v>0</v>
      </c>
      <c r="AD1002" t="s">
        <v>2073</v>
      </c>
    </row>
    <row r="1003" spans="1:30" x14ac:dyDescent="0.25">
      <c r="H1003" t="s">
        <v>729</v>
      </c>
    </row>
    <row r="1004" spans="1:30" x14ac:dyDescent="0.25">
      <c r="A1004">
        <v>499</v>
      </c>
      <c r="B1004">
        <v>4646</v>
      </c>
      <c r="C1004" t="s">
        <v>2077</v>
      </c>
      <c r="D1004" t="s">
        <v>2078</v>
      </c>
      <c r="E1004" t="s">
        <v>135</v>
      </c>
      <c r="F1004" t="s">
        <v>2079</v>
      </c>
      <c r="G1004" t="str">
        <f>"00182866"</f>
        <v>00182866</v>
      </c>
      <c r="H1004" t="s">
        <v>205</v>
      </c>
      <c r="I1004">
        <v>0</v>
      </c>
      <c r="J1004">
        <v>0</v>
      </c>
      <c r="K1004">
        <v>0</v>
      </c>
      <c r="L1004">
        <v>200</v>
      </c>
      <c r="M1004">
        <v>0</v>
      </c>
      <c r="N1004">
        <v>70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65</v>
      </c>
      <c r="W1004">
        <v>455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2080</v>
      </c>
    </row>
    <row r="1005" spans="1:30" x14ac:dyDescent="0.25">
      <c r="H1005" t="s">
        <v>923</v>
      </c>
    </row>
    <row r="1006" spans="1:30" x14ac:dyDescent="0.25">
      <c r="A1006">
        <v>500</v>
      </c>
      <c r="B1006">
        <v>4926</v>
      </c>
      <c r="C1006" t="s">
        <v>2081</v>
      </c>
      <c r="D1006" t="s">
        <v>283</v>
      </c>
      <c r="E1006" t="s">
        <v>2082</v>
      </c>
      <c r="F1006" t="s">
        <v>2083</v>
      </c>
      <c r="G1006" t="str">
        <f>"00201563"</f>
        <v>00201563</v>
      </c>
      <c r="H1006" t="s">
        <v>17</v>
      </c>
      <c r="I1006">
        <v>0</v>
      </c>
      <c r="J1006">
        <v>0</v>
      </c>
      <c r="K1006">
        <v>0</v>
      </c>
      <c r="L1006">
        <v>200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84</v>
      </c>
      <c r="W1006">
        <v>588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2084</v>
      </c>
    </row>
    <row r="1007" spans="1:30" x14ac:dyDescent="0.25">
      <c r="H1007" t="s">
        <v>2085</v>
      </c>
    </row>
    <row r="1008" spans="1:30" x14ac:dyDescent="0.25">
      <c r="A1008">
        <v>501</v>
      </c>
      <c r="B1008">
        <v>3781</v>
      </c>
      <c r="C1008" t="s">
        <v>701</v>
      </c>
      <c r="D1008" t="s">
        <v>142</v>
      </c>
      <c r="E1008" t="s">
        <v>702</v>
      </c>
      <c r="F1008" t="s">
        <v>703</v>
      </c>
      <c r="G1008" t="str">
        <f>"201402005577"</f>
        <v>201402005577</v>
      </c>
      <c r="H1008">
        <v>693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70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60</v>
      </c>
      <c r="W1008">
        <v>420</v>
      </c>
      <c r="X1008">
        <v>0</v>
      </c>
      <c r="Z1008">
        <v>0</v>
      </c>
      <c r="AA1008">
        <v>0</v>
      </c>
      <c r="AB1008">
        <v>24</v>
      </c>
      <c r="AC1008">
        <v>408</v>
      </c>
      <c r="AD1008">
        <v>1591</v>
      </c>
    </row>
    <row r="1009" spans="1:30" x14ac:dyDescent="0.25">
      <c r="H1009" t="s">
        <v>704</v>
      </c>
    </row>
    <row r="1010" spans="1:30" x14ac:dyDescent="0.25">
      <c r="A1010">
        <v>502</v>
      </c>
      <c r="B1010">
        <v>4200</v>
      </c>
      <c r="C1010" t="s">
        <v>2086</v>
      </c>
      <c r="D1010" t="s">
        <v>283</v>
      </c>
      <c r="E1010" t="s">
        <v>780</v>
      </c>
      <c r="F1010" t="s">
        <v>2087</v>
      </c>
      <c r="G1010" t="str">
        <f>"00145329"</f>
        <v>00145329</v>
      </c>
      <c r="H1010">
        <v>990</v>
      </c>
      <c r="I1010">
        <v>150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70</v>
      </c>
      <c r="R1010">
        <v>0</v>
      </c>
      <c r="S1010">
        <v>0</v>
      </c>
      <c r="T1010">
        <v>0</v>
      </c>
      <c r="U1010">
        <v>0</v>
      </c>
      <c r="V1010">
        <v>50</v>
      </c>
      <c r="W1010">
        <v>350</v>
      </c>
      <c r="X1010">
        <v>0</v>
      </c>
      <c r="Z1010">
        <v>0</v>
      </c>
      <c r="AA1010">
        <v>0</v>
      </c>
      <c r="AB1010">
        <v>0</v>
      </c>
      <c r="AC1010">
        <v>0</v>
      </c>
      <c r="AD1010">
        <v>1590</v>
      </c>
    </row>
    <row r="1011" spans="1:30" x14ac:dyDescent="0.25">
      <c r="H1011">
        <v>1086</v>
      </c>
    </row>
    <row r="1012" spans="1:30" x14ac:dyDescent="0.25">
      <c r="A1012">
        <v>503</v>
      </c>
      <c r="B1012">
        <v>1112</v>
      </c>
      <c r="C1012" t="s">
        <v>930</v>
      </c>
      <c r="D1012" t="s">
        <v>272</v>
      </c>
      <c r="E1012" t="s">
        <v>408</v>
      </c>
      <c r="F1012" t="s">
        <v>2088</v>
      </c>
      <c r="G1012" t="str">
        <f>"201411001004"</f>
        <v>201411001004</v>
      </c>
      <c r="H1012">
        <v>682</v>
      </c>
      <c r="I1012">
        <v>0</v>
      </c>
      <c r="J1012">
        <v>0</v>
      </c>
      <c r="K1012">
        <v>0</v>
      </c>
      <c r="L1012">
        <v>200</v>
      </c>
      <c r="M1012">
        <v>0</v>
      </c>
      <c r="N1012">
        <v>70</v>
      </c>
      <c r="O1012">
        <v>50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84</v>
      </c>
      <c r="W1012">
        <v>588</v>
      </c>
      <c r="X1012">
        <v>0</v>
      </c>
      <c r="Z1012">
        <v>0</v>
      </c>
      <c r="AA1012">
        <v>0</v>
      </c>
      <c r="AB1012">
        <v>0</v>
      </c>
      <c r="AC1012">
        <v>0</v>
      </c>
      <c r="AD1012">
        <v>1590</v>
      </c>
    </row>
    <row r="1013" spans="1:30" x14ac:dyDescent="0.25">
      <c r="H1013" t="s">
        <v>2089</v>
      </c>
    </row>
    <row r="1014" spans="1:30" x14ac:dyDescent="0.25">
      <c r="A1014">
        <v>504</v>
      </c>
      <c r="B1014">
        <v>4967</v>
      </c>
      <c r="C1014" t="s">
        <v>2090</v>
      </c>
      <c r="D1014" t="s">
        <v>293</v>
      </c>
      <c r="E1014" t="s">
        <v>408</v>
      </c>
      <c r="F1014" t="s">
        <v>2091</v>
      </c>
      <c r="G1014" t="str">
        <f>"00365550"</f>
        <v>00365550</v>
      </c>
      <c r="H1014" t="s">
        <v>199</v>
      </c>
      <c r="I1014">
        <v>0</v>
      </c>
      <c r="J1014">
        <v>0</v>
      </c>
      <c r="K1014">
        <v>0</v>
      </c>
      <c r="L1014">
        <v>200</v>
      </c>
      <c r="M1014">
        <v>0</v>
      </c>
      <c r="N1014">
        <v>70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76</v>
      </c>
      <c r="W1014">
        <v>532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2092</v>
      </c>
    </row>
    <row r="1015" spans="1:30" x14ac:dyDescent="0.25">
      <c r="H1015" t="s">
        <v>2093</v>
      </c>
    </row>
    <row r="1016" spans="1:30" x14ac:dyDescent="0.25">
      <c r="A1016">
        <v>505</v>
      </c>
      <c r="B1016">
        <v>4812</v>
      </c>
      <c r="C1016" t="s">
        <v>2094</v>
      </c>
      <c r="D1016" t="s">
        <v>136</v>
      </c>
      <c r="E1016" t="s">
        <v>203</v>
      </c>
      <c r="F1016" t="s">
        <v>2095</v>
      </c>
      <c r="G1016" t="str">
        <f>"200802009060"</f>
        <v>200802009060</v>
      </c>
      <c r="H1016" t="s">
        <v>671</v>
      </c>
      <c r="I1016">
        <v>0</v>
      </c>
      <c r="J1016">
        <v>0</v>
      </c>
      <c r="K1016">
        <v>0</v>
      </c>
      <c r="L1016">
        <v>200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84</v>
      </c>
      <c r="W1016">
        <v>588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2096</v>
      </c>
    </row>
    <row r="1017" spans="1:30" x14ac:dyDescent="0.25">
      <c r="H1017" t="s">
        <v>2097</v>
      </c>
    </row>
    <row r="1018" spans="1:30" x14ac:dyDescent="0.25">
      <c r="A1018">
        <v>506</v>
      </c>
      <c r="B1018">
        <v>4860</v>
      </c>
      <c r="C1018" t="s">
        <v>2098</v>
      </c>
      <c r="D1018" t="s">
        <v>2099</v>
      </c>
      <c r="E1018" t="s">
        <v>2100</v>
      </c>
      <c r="F1018" t="s">
        <v>2101</v>
      </c>
      <c r="G1018" t="str">
        <f>"00022569"</f>
        <v>00022569</v>
      </c>
      <c r="H1018" t="s">
        <v>386</v>
      </c>
      <c r="I1018">
        <v>0</v>
      </c>
      <c r="J1018">
        <v>0</v>
      </c>
      <c r="K1018">
        <v>0</v>
      </c>
      <c r="L1018">
        <v>200</v>
      </c>
      <c r="M1018">
        <v>0</v>
      </c>
      <c r="N1018">
        <v>70</v>
      </c>
      <c r="O1018">
        <v>0</v>
      </c>
      <c r="P1018">
        <v>50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4</v>
      </c>
      <c r="W1018">
        <v>28</v>
      </c>
      <c r="X1018">
        <v>6</v>
      </c>
      <c r="Y1018">
        <v>1084</v>
      </c>
      <c r="Z1018">
        <v>0</v>
      </c>
      <c r="AA1018">
        <v>0</v>
      </c>
      <c r="AB1018">
        <v>24</v>
      </c>
      <c r="AC1018">
        <v>408</v>
      </c>
      <c r="AD1018" t="s">
        <v>2102</v>
      </c>
    </row>
    <row r="1019" spans="1:30" x14ac:dyDescent="0.25">
      <c r="H1019">
        <v>1084</v>
      </c>
    </row>
    <row r="1020" spans="1:30" x14ac:dyDescent="0.25">
      <c r="A1020">
        <v>507</v>
      </c>
      <c r="B1020">
        <v>4506</v>
      </c>
      <c r="C1020" t="s">
        <v>2103</v>
      </c>
      <c r="D1020" t="s">
        <v>135</v>
      </c>
      <c r="E1020" t="s">
        <v>294</v>
      </c>
      <c r="F1020" t="s">
        <v>2104</v>
      </c>
      <c r="G1020" t="str">
        <f>"00297319"</f>
        <v>00297319</v>
      </c>
      <c r="H1020" t="s">
        <v>348</v>
      </c>
      <c r="I1020">
        <v>0</v>
      </c>
      <c r="J1020">
        <v>0</v>
      </c>
      <c r="K1020">
        <v>0</v>
      </c>
      <c r="L1020">
        <v>200</v>
      </c>
      <c r="M1020">
        <v>0</v>
      </c>
      <c r="N1020">
        <v>50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84</v>
      </c>
      <c r="W1020">
        <v>588</v>
      </c>
      <c r="X1020">
        <v>0</v>
      </c>
      <c r="Z1020">
        <v>1</v>
      </c>
      <c r="AA1020">
        <v>0</v>
      </c>
      <c r="AB1020">
        <v>0</v>
      </c>
      <c r="AC1020">
        <v>0</v>
      </c>
      <c r="AD1020" t="s">
        <v>2105</v>
      </c>
    </row>
    <row r="1021" spans="1:30" x14ac:dyDescent="0.25">
      <c r="H1021" t="s">
        <v>2106</v>
      </c>
    </row>
    <row r="1022" spans="1:30" x14ac:dyDescent="0.25">
      <c r="A1022">
        <v>508</v>
      </c>
      <c r="B1022">
        <v>4247</v>
      </c>
      <c r="C1022" t="s">
        <v>2107</v>
      </c>
      <c r="D1022" t="s">
        <v>2108</v>
      </c>
      <c r="E1022" t="s">
        <v>108</v>
      </c>
      <c r="F1022" t="s">
        <v>2109</v>
      </c>
      <c r="G1022" t="str">
        <f>"201311000148"</f>
        <v>201311000148</v>
      </c>
      <c r="H1022">
        <v>770</v>
      </c>
      <c r="I1022">
        <v>0</v>
      </c>
      <c r="J1022">
        <v>0</v>
      </c>
      <c r="K1022">
        <v>0</v>
      </c>
      <c r="L1022">
        <v>200</v>
      </c>
      <c r="M1022">
        <v>0</v>
      </c>
      <c r="N1022">
        <v>30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84</v>
      </c>
      <c r="W1022">
        <v>588</v>
      </c>
      <c r="X1022">
        <v>0</v>
      </c>
      <c r="Z1022">
        <v>0</v>
      </c>
      <c r="AA1022">
        <v>0</v>
      </c>
      <c r="AB1022">
        <v>0</v>
      </c>
      <c r="AC1022">
        <v>0</v>
      </c>
      <c r="AD1022">
        <v>1588</v>
      </c>
    </row>
    <row r="1023" spans="1:30" x14ac:dyDescent="0.25">
      <c r="H1023" t="s">
        <v>2110</v>
      </c>
    </row>
    <row r="1024" spans="1:30" x14ac:dyDescent="0.25">
      <c r="A1024">
        <v>509</v>
      </c>
      <c r="B1024">
        <v>1203</v>
      </c>
      <c r="C1024" t="s">
        <v>2111</v>
      </c>
      <c r="D1024" t="s">
        <v>300</v>
      </c>
      <c r="E1024" t="s">
        <v>225</v>
      </c>
      <c r="F1024" t="s">
        <v>2112</v>
      </c>
      <c r="G1024" t="str">
        <f>"00021728"</f>
        <v>00021728</v>
      </c>
      <c r="H1024" t="s">
        <v>682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70</v>
      </c>
      <c r="R1024">
        <v>0</v>
      </c>
      <c r="S1024">
        <v>0</v>
      </c>
      <c r="T1024">
        <v>0</v>
      </c>
      <c r="U1024">
        <v>0</v>
      </c>
      <c r="V1024">
        <v>84</v>
      </c>
      <c r="W1024">
        <v>588</v>
      </c>
      <c r="X1024">
        <v>0</v>
      </c>
      <c r="Z1024">
        <v>0</v>
      </c>
      <c r="AA1024">
        <v>0</v>
      </c>
      <c r="AB1024">
        <v>0</v>
      </c>
      <c r="AC1024">
        <v>0</v>
      </c>
      <c r="AD1024" t="s">
        <v>2113</v>
      </c>
    </row>
    <row r="1025" spans="1:30" x14ac:dyDescent="0.25">
      <c r="H1025">
        <v>1078</v>
      </c>
    </row>
    <row r="1026" spans="1:30" x14ac:dyDescent="0.25">
      <c r="A1026">
        <v>510</v>
      </c>
      <c r="B1026">
        <v>4027</v>
      </c>
      <c r="C1026" t="s">
        <v>2114</v>
      </c>
      <c r="D1026" t="s">
        <v>1129</v>
      </c>
      <c r="E1026" t="s">
        <v>731</v>
      </c>
      <c r="F1026" t="s">
        <v>2115</v>
      </c>
      <c r="G1026" t="str">
        <f>"00189477"</f>
        <v>00189477</v>
      </c>
      <c r="H1026" t="s">
        <v>906</v>
      </c>
      <c r="I1026">
        <v>0</v>
      </c>
      <c r="J1026">
        <v>0</v>
      </c>
      <c r="K1026">
        <v>0</v>
      </c>
      <c r="L1026">
        <v>200</v>
      </c>
      <c r="M1026">
        <v>0</v>
      </c>
      <c r="N1026">
        <v>70</v>
      </c>
      <c r="O1026">
        <v>0</v>
      </c>
      <c r="P1026">
        <v>0</v>
      </c>
      <c r="Q1026">
        <v>30</v>
      </c>
      <c r="R1026">
        <v>0</v>
      </c>
      <c r="S1026">
        <v>0</v>
      </c>
      <c r="T1026">
        <v>0</v>
      </c>
      <c r="U1026">
        <v>0</v>
      </c>
      <c r="V1026">
        <v>84</v>
      </c>
      <c r="W1026">
        <v>588</v>
      </c>
      <c r="X1026">
        <v>0</v>
      </c>
      <c r="Z1026">
        <v>0</v>
      </c>
      <c r="AA1026">
        <v>0</v>
      </c>
      <c r="AB1026">
        <v>0</v>
      </c>
      <c r="AC1026">
        <v>0</v>
      </c>
      <c r="AD1026" t="s">
        <v>2116</v>
      </c>
    </row>
    <row r="1027" spans="1:30" x14ac:dyDescent="0.25">
      <c r="H1027" t="s">
        <v>2117</v>
      </c>
    </row>
    <row r="1028" spans="1:30" x14ac:dyDescent="0.25">
      <c r="A1028">
        <v>511</v>
      </c>
      <c r="B1028">
        <v>158</v>
      </c>
      <c r="C1028" t="s">
        <v>2118</v>
      </c>
      <c r="D1028" t="s">
        <v>408</v>
      </c>
      <c r="E1028" t="s">
        <v>22</v>
      </c>
      <c r="F1028" t="s">
        <v>2119</v>
      </c>
      <c r="G1028" t="str">
        <f>"00020451"</f>
        <v>00020451</v>
      </c>
      <c r="H1028" t="s">
        <v>772</v>
      </c>
      <c r="I1028">
        <v>0</v>
      </c>
      <c r="J1028">
        <v>0</v>
      </c>
      <c r="K1028">
        <v>0</v>
      </c>
      <c r="L1028">
        <v>200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84</v>
      </c>
      <c r="W1028">
        <v>588</v>
      </c>
      <c r="X1028">
        <v>0</v>
      </c>
      <c r="Z1028">
        <v>0</v>
      </c>
      <c r="AA1028">
        <v>0</v>
      </c>
      <c r="AB1028">
        <v>0</v>
      </c>
      <c r="AC1028">
        <v>0</v>
      </c>
      <c r="AD1028" t="s">
        <v>2120</v>
      </c>
    </row>
    <row r="1029" spans="1:30" x14ac:dyDescent="0.25">
      <c r="H1029" t="s">
        <v>2121</v>
      </c>
    </row>
    <row r="1030" spans="1:30" x14ac:dyDescent="0.25">
      <c r="A1030">
        <v>512</v>
      </c>
      <c r="B1030">
        <v>1546</v>
      </c>
      <c r="C1030" t="s">
        <v>2122</v>
      </c>
      <c r="D1030" t="s">
        <v>103</v>
      </c>
      <c r="E1030" t="s">
        <v>59</v>
      </c>
      <c r="F1030" t="s">
        <v>2123</v>
      </c>
      <c r="G1030" t="str">
        <f>"00152819"</f>
        <v>00152819</v>
      </c>
      <c r="H1030" t="s">
        <v>381</v>
      </c>
      <c r="I1030">
        <v>0</v>
      </c>
      <c r="J1030">
        <v>0</v>
      </c>
      <c r="K1030">
        <v>0</v>
      </c>
      <c r="L1030">
        <v>200</v>
      </c>
      <c r="M1030">
        <v>0</v>
      </c>
      <c r="N1030">
        <v>70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84</v>
      </c>
      <c r="W1030">
        <v>588</v>
      </c>
      <c r="X1030">
        <v>0</v>
      </c>
      <c r="Z1030">
        <v>0</v>
      </c>
      <c r="AA1030">
        <v>0</v>
      </c>
      <c r="AB1030">
        <v>0</v>
      </c>
      <c r="AC1030">
        <v>0</v>
      </c>
      <c r="AD1030" t="s">
        <v>2124</v>
      </c>
    </row>
    <row r="1031" spans="1:30" x14ac:dyDescent="0.25">
      <c r="H1031" t="s">
        <v>2125</v>
      </c>
    </row>
    <row r="1032" spans="1:30" x14ac:dyDescent="0.25">
      <c r="A1032">
        <v>513</v>
      </c>
      <c r="B1032">
        <v>2164</v>
      </c>
      <c r="C1032" t="s">
        <v>2126</v>
      </c>
      <c r="D1032" t="s">
        <v>379</v>
      </c>
      <c r="E1032" t="s">
        <v>135</v>
      </c>
      <c r="F1032" t="s">
        <v>2127</v>
      </c>
      <c r="G1032" t="str">
        <f>"201412003811"</f>
        <v>201412003811</v>
      </c>
      <c r="H1032" t="s">
        <v>2128</v>
      </c>
      <c r="I1032">
        <v>0</v>
      </c>
      <c r="J1032">
        <v>0</v>
      </c>
      <c r="K1032">
        <v>0</v>
      </c>
      <c r="L1032">
        <v>200</v>
      </c>
      <c r="M1032">
        <v>0</v>
      </c>
      <c r="N1032">
        <v>30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72</v>
      </c>
      <c r="W1032">
        <v>504</v>
      </c>
      <c r="X1032">
        <v>0</v>
      </c>
      <c r="Z1032">
        <v>0</v>
      </c>
      <c r="AA1032">
        <v>0</v>
      </c>
      <c r="AB1032">
        <v>0</v>
      </c>
      <c r="AC1032">
        <v>0</v>
      </c>
      <c r="AD1032" t="s">
        <v>2129</v>
      </c>
    </row>
    <row r="1033" spans="1:30" x14ac:dyDescent="0.25">
      <c r="H1033">
        <v>1078</v>
      </c>
    </row>
    <row r="1034" spans="1:30" x14ac:dyDescent="0.25">
      <c r="A1034">
        <v>514</v>
      </c>
      <c r="B1034">
        <v>1885</v>
      </c>
      <c r="C1034" t="s">
        <v>2130</v>
      </c>
      <c r="D1034" t="s">
        <v>1263</v>
      </c>
      <c r="E1034" t="s">
        <v>135</v>
      </c>
      <c r="F1034" t="s">
        <v>2131</v>
      </c>
      <c r="G1034" t="str">
        <f>"201504001204"</f>
        <v>201504001204</v>
      </c>
      <c r="H1034" t="s">
        <v>1548</v>
      </c>
      <c r="I1034">
        <v>0</v>
      </c>
      <c r="J1034">
        <v>0</v>
      </c>
      <c r="K1034">
        <v>0</v>
      </c>
      <c r="L1034">
        <v>200</v>
      </c>
      <c r="M1034">
        <v>0</v>
      </c>
      <c r="N1034">
        <v>70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84</v>
      </c>
      <c r="W1034">
        <v>588</v>
      </c>
      <c r="X1034">
        <v>0</v>
      </c>
      <c r="Z1034">
        <v>0</v>
      </c>
      <c r="AA1034">
        <v>0</v>
      </c>
      <c r="AB1034">
        <v>0</v>
      </c>
      <c r="AC1034">
        <v>0</v>
      </c>
      <c r="AD1034" t="s">
        <v>2132</v>
      </c>
    </row>
    <row r="1035" spans="1:30" x14ac:dyDescent="0.25">
      <c r="H1035" t="s">
        <v>2133</v>
      </c>
    </row>
    <row r="1036" spans="1:30" x14ac:dyDescent="0.25">
      <c r="A1036">
        <v>515</v>
      </c>
      <c r="B1036">
        <v>1468</v>
      </c>
      <c r="C1036" t="s">
        <v>2134</v>
      </c>
      <c r="D1036" t="s">
        <v>2135</v>
      </c>
      <c r="E1036" t="s">
        <v>59</v>
      </c>
      <c r="F1036" t="s">
        <v>2136</v>
      </c>
      <c r="G1036" t="str">
        <f>"201402010841"</f>
        <v>201402010841</v>
      </c>
      <c r="H1036" t="s">
        <v>1548</v>
      </c>
      <c r="I1036">
        <v>0</v>
      </c>
      <c r="J1036">
        <v>0</v>
      </c>
      <c r="K1036">
        <v>0</v>
      </c>
      <c r="L1036">
        <v>200</v>
      </c>
      <c r="M1036">
        <v>0</v>
      </c>
      <c r="N1036">
        <v>70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84</v>
      </c>
      <c r="W1036">
        <v>588</v>
      </c>
      <c r="X1036">
        <v>0</v>
      </c>
      <c r="Z1036">
        <v>0</v>
      </c>
      <c r="AA1036">
        <v>0</v>
      </c>
      <c r="AB1036">
        <v>0</v>
      </c>
      <c r="AC1036">
        <v>0</v>
      </c>
      <c r="AD1036" t="s">
        <v>2132</v>
      </c>
    </row>
    <row r="1037" spans="1:30" x14ac:dyDescent="0.25">
      <c r="H1037" t="s">
        <v>2137</v>
      </c>
    </row>
    <row r="1038" spans="1:30" x14ac:dyDescent="0.25">
      <c r="A1038">
        <v>516</v>
      </c>
      <c r="B1038">
        <v>3061</v>
      </c>
      <c r="C1038" t="s">
        <v>2138</v>
      </c>
      <c r="D1038" t="s">
        <v>2139</v>
      </c>
      <c r="E1038" t="s">
        <v>135</v>
      </c>
      <c r="F1038" t="s">
        <v>2140</v>
      </c>
      <c r="G1038" t="str">
        <f>"00360822"</f>
        <v>00360822</v>
      </c>
      <c r="H1038">
        <v>726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60</v>
      </c>
      <c r="W1038">
        <v>420</v>
      </c>
      <c r="X1038">
        <v>0</v>
      </c>
      <c r="Z1038">
        <v>0</v>
      </c>
      <c r="AA1038">
        <v>0</v>
      </c>
      <c r="AB1038">
        <v>24</v>
      </c>
      <c r="AC1038">
        <v>408</v>
      </c>
      <c r="AD1038">
        <v>1584</v>
      </c>
    </row>
    <row r="1039" spans="1:30" x14ac:dyDescent="0.25">
      <c r="H1039" t="s">
        <v>2141</v>
      </c>
    </row>
    <row r="1040" spans="1:30" x14ac:dyDescent="0.25">
      <c r="A1040">
        <v>517</v>
      </c>
      <c r="B1040">
        <v>4064</v>
      </c>
      <c r="C1040" t="s">
        <v>2142</v>
      </c>
      <c r="D1040" t="s">
        <v>135</v>
      </c>
      <c r="E1040" t="s">
        <v>702</v>
      </c>
      <c r="F1040" t="s">
        <v>2143</v>
      </c>
      <c r="G1040" t="str">
        <f>"00362874"</f>
        <v>00362874</v>
      </c>
      <c r="H1040" t="s">
        <v>790</v>
      </c>
      <c r="I1040">
        <v>0</v>
      </c>
      <c r="J1040">
        <v>0</v>
      </c>
      <c r="K1040">
        <v>0</v>
      </c>
      <c r="L1040">
        <v>0</v>
      </c>
      <c r="M1040">
        <v>100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72</v>
      </c>
      <c r="W1040">
        <v>504</v>
      </c>
      <c r="X1040">
        <v>0</v>
      </c>
      <c r="Z1040">
        <v>0</v>
      </c>
      <c r="AA1040">
        <v>0</v>
      </c>
      <c r="AB1040">
        <v>12</v>
      </c>
      <c r="AC1040">
        <v>204</v>
      </c>
      <c r="AD1040" t="s">
        <v>2144</v>
      </c>
    </row>
    <row r="1041" spans="1:30" x14ac:dyDescent="0.25">
      <c r="H1041" t="s">
        <v>2145</v>
      </c>
    </row>
    <row r="1042" spans="1:30" x14ac:dyDescent="0.25">
      <c r="A1042">
        <v>518</v>
      </c>
      <c r="B1042">
        <v>5157</v>
      </c>
      <c r="C1042" t="s">
        <v>2146</v>
      </c>
      <c r="D1042" t="s">
        <v>148</v>
      </c>
      <c r="E1042" t="s">
        <v>2147</v>
      </c>
      <c r="F1042" t="s">
        <v>2148</v>
      </c>
      <c r="G1042" t="str">
        <f>"200802005103"</f>
        <v>200802005103</v>
      </c>
      <c r="H1042" t="s">
        <v>1146</v>
      </c>
      <c r="I1042">
        <v>0</v>
      </c>
      <c r="J1042">
        <v>0</v>
      </c>
      <c r="K1042">
        <v>0</v>
      </c>
      <c r="L1042">
        <v>200</v>
      </c>
      <c r="M1042">
        <v>30</v>
      </c>
      <c r="N1042">
        <v>70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84</v>
      </c>
      <c r="W1042">
        <v>588</v>
      </c>
      <c r="X1042">
        <v>0</v>
      </c>
      <c r="Z1042">
        <v>0</v>
      </c>
      <c r="AA1042">
        <v>0</v>
      </c>
      <c r="AB1042">
        <v>0</v>
      </c>
      <c r="AC1042">
        <v>0</v>
      </c>
      <c r="AD1042" t="s">
        <v>2149</v>
      </c>
    </row>
    <row r="1043" spans="1:30" x14ac:dyDescent="0.25">
      <c r="H1043" t="s">
        <v>1500</v>
      </c>
    </row>
    <row r="1044" spans="1:30" x14ac:dyDescent="0.25">
      <c r="A1044">
        <v>519</v>
      </c>
      <c r="B1044">
        <v>328</v>
      </c>
      <c r="C1044" t="s">
        <v>2150</v>
      </c>
      <c r="D1044" t="s">
        <v>34</v>
      </c>
      <c r="E1044" t="s">
        <v>77</v>
      </c>
      <c r="F1044" t="s">
        <v>2151</v>
      </c>
      <c r="G1044" t="str">
        <f>"201412000663"</f>
        <v>201412000663</v>
      </c>
      <c r="H1044" t="s">
        <v>936</v>
      </c>
      <c r="I1044">
        <v>0</v>
      </c>
      <c r="J1044">
        <v>0</v>
      </c>
      <c r="K1044">
        <v>0</v>
      </c>
      <c r="L1044">
        <v>0</v>
      </c>
      <c r="M1044">
        <v>130</v>
      </c>
      <c r="N1044">
        <v>70</v>
      </c>
      <c r="O1044">
        <v>30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84</v>
      </c>
      <c r="W1044">
        <v>588</v>
      </c>
      <c r="X1044">
        <v>0</v>
      </c>
      <c r="Z1044">
        <v>1</v>
      </c>
      <c r="AA1044">
        <v>0</v>
      </c>
      <c r="AB1044">
        <v>0</v>
      </c>
      <c r="AC1044">
        <v>0</v>
      </c>
      <c r="AD1044" t="s">
        <v>2152</v>
      </c>
    </row>
    <row r="1045" spans="1:30" x14ac:dyDescent="0.25">
      <c r="H1045" t="s">
        <v>2153</v>
      </c>
    </row>
    <row r="1046" spans="1:30" x14ac:dyDescent="0.25">
      <c r="A1046">
        <v>520</v>
      </c>
      <c r="B1046">
        <v>215</v>
      </c>
      <c r="C1046" t="s">
        <v>2154</v>
      </c>
      <c r="D1046" t="s">
        <v>2155</v>
      </c>
      <c r="E1046" t="s">
        <v>35</v>
      </c>
      <c r="F1046" t="s">
        <v>2156</v>
      </c>
      <c r="G1046" t="str">
        <f>"201601000144"</f>
        <v>201601000144</v>
      </c>
      <c r="H1046" t="s">
        <v>1742</v>
      </c>
      <c r="I1046">
        <v>0</v>
      </c>
      <c r="J1046">
        <v>0</v>
      </c>
      <c r="K1046">
        <v>0</v>
      </c>
      <c r="L1046">
        <v>200</v>
      </c>
      <c r="M1046">
        <v>0</v>
      </c>
      <c r="N1046">
        <v>70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84</v>
      </c>
      <c r="W1046">
        <v>588</v>
      </c>
      <c r="X1046">
        <v>0</v>
      </c>
      <c r="Z1046">
        <v>0</v>
      </c>
      <c r="AA1046">
        <v>0</v>
      </c>
      <c r="AB1046">
        <v>0</v>
      </c>
      <c r="AC1046">
        <v>0</v>
      </c>
      <c r="AD1046" t="s">
        <v>2157</v>
      </c>
    </row>
    <row r="1047" spans="1:30" x14ac:dyDescent="0.25">
      <c r="H1047" t="s">
        <v>2158</v>
      </c>
    </row>
    <row r="1048" spans="1:30" x14ac:dyDescent="0.25">
      <c r="A1048">
        <v>521</v>
      </c>
      <c r="B1048">
        <v>1149</v>
      </c>
      <c r="C1048" t="s">
        <v>2159</v>
      </c>
      <c r="D1048" t="s">
        <v>59</v>
      </c>
      <c r="E1048" t="s">
        <v>148</v>
      </c>
      <c r="F1048" t="s">
        <v>2160</v>
      </c>
      <c r="G1048" t="str">
        <f>"200801006637"</f>
        <v>200801006637</v>
      </c>
      <c r="H1048" t="s">
        <v>227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60</v>
      </c>
      <c r="W1048">
        <v>420</v>
      </c>
      <c r="X1048">
        <v>0</v>
      </c>
      <c r="Z1048">
        <v>0</v>
      </c>
      <c r="AA1048">
        <v>0</v>
      </c>
      <c r="AB1048">
        <v>24</v>
      </c>
      <c r="AC1048">
        <v>408</v>
      </c>
      <c r="AD1048" t="s">
        <v>2161</v>
      </c>
    </row>
    <row r="1049" spans="1:30" x14ac:dyDescent="0.25">
      <c r="H1049" t="s">
        <v>2162</v>
      </c>
    </row>
    <row r="1050" spans="1:30" x14ac:dyDescent="0.25">
      <c r="A1050">
        <v>522</v>
      </c>
      <c r="B1050">
        <v>4770</v>
      </c>
      <c r="C1050" t="s">
        <v>2163</v>
      </c>
      <c r="D1050" t="s">
        <v>147</v>
      </c>
      <c r="E1050" t="s">
        <v>435</v>
      </c>
      <c r="F1050" t="s">
        <v>2164</v>
      </c>
      <c r="G1050" t="str">
        <f>"00155812"</f>
        <v>00155812</v>
      </c>
      <c r="H1050" t="s">
        <v>2165</v>
      </c>
      <c r="I1050">
        <v>0</v>
      </c>
      <c r="J1050">
        <v>0</v>
      </c>
      <c r="K1050">
        <v>0</v>
      </c>
      <c r="L1050">
        <v>200</v>
      </c>
      <c r="M1050">
        <v>0</v>
      </c>
      <c r="N1050">
        <v>70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84</v>
      </c>
      <c r="W1050">
        <v>588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2166</v>
      </c>
    </row>
    <row r="1051" spans="1:30" x14ac:dyDescent="0.25">
      <c r="H1051" t="s">
        <v>2167</v>
      </c>
    </row>
    <row r="1052" spans="1:30" x14ac:dyDescent="0.25">
      <c r="A1052">
        <v>523</v>
      </c>
      <c r="B1052">
        <v>2386</v>
      </c>
      <c r="C1052" t="s">
        <v>2150</v>
      </c>
      <c r="D1052" t="s">
        <v>283</v>
      </c>
      <c r="E1052" t="s">
        <v>77</v>
      </c>
      <c r="F1052" t="s">
        <v>2168</v>
      </c>
      <c r="G1052" t="str">
        <f>"00029709"</f>
        <v>00029709</v>
      </c>
      <c r="H1052" t="s">
        <v>2169</v>
      </c>
      <c r="I1052">
        <v>0</v>
      </c>
      <c r="J1052">
        <v>0</v>
      </c>
      <c r="K1052">
        <v>0</v>
      </c>
      <c r="L1052">
        <v>200</v>
      </c>
      <c r="M1052">
        <v>0</v>
      </c>
      <c r="N1052">
        <v>70</v>
      </c>
      <c r="O1052">
        <v>0</v>
      </c>
      <c r="P1052">
        <v>50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57</v>
      </c>
      <c r="W1052">
        <v>399</v>
      </c>
      <c r="X1052">
        <v>0</v>
      </c>
      <c r="Z1052">
        <v>0</v>
      </c>
      <c r="AA1052">
        <v>0</v>
      </c>
      <c r="AB1052">
        <v>0</v>
      </c>
      <c r="AC1052">
        <v>0</v>
      </c>
      <c r="AD1052" t="s">
        <v>2170</v>
      </c>
    </row>
    <row r="1053" spans="1:30" x14ac:dyDescent="0.25">
      <c r="H1053" t="s">
        <v>2171</v>
      </c>
    </row>
    <row r="1054" spans="1:30" x14ac:dyDescent="0.25">
      <c r="A1054">
        <v>524</v>
      </c>
      <c r="B1054">
        <v>5107</v>
      </c>
      <c r="C1054" t="s">
        <v>721</v>
      </c>
      <c r="D1054" t="s">
        <v>77</v>
      </c>
      <c r="E1054" t="s">
        <v>59</v>
      </c>
      <c r="F1054" t="s">
        <v>722</v>
      </c>
      <c r="G1054" t="str">
        <f>"201402010371"</f>
        <v>201402010371</v>
      </c>
      <c r="H1054" t="s">
        <v>723</v>
      </c>
      <c r="I1054">
        <v>0</v>
      </c>
      <c r="J1054">
        <v>0</v>
      </c>
      <c r="K1054">
        <v>0</v>
      </c>
      <c r="L1054">
        <v>200</v>
      </c>
      <c r="M1054">
        <v>0</v>
      </c>
      <c r="N1054">
        <v>30</v>
      </c>
      <c r="O1054">
        <v>0</v>
      </c>
      <c r="P1054">
        <v>30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84</v>
      </c>
      <c r="W1054">
        <v>588</v>
      </c>
      <c r="X1054">
        <v>0</v>
      </c>
      <c r="Z1054">
        <v>0</v>
      </c>
      <c r="AA1054">
        <v>0</v>
      </c>
      <c r="AB1054">
        <v>0</v>
      </c>
      <c r="AC1054">
        <v>0</v>
      </c>
      <c r="AD1054" t="s">
        <v>2172</v>
      </c>
    </row>
    <row r="1055" spans="1:30" x14ac:dyDescent="0.25">
      <c r="H1055" t="s">
        <v>725</v>
      </c>
    </row>
    <row r="1056" spans="1:30" x14ac:dyDescent="0.25">
      <c r="A1056">
        <v>525</v>
      </c>
      <c r="B1056">
        <v>78</v>
      </c>
      <c r="C1056" t="s">
        <v>2173</v>
      </c>
      <c r="D1056" t="s">
        <v>2174</v>
      </c>
      <c r="E1056" t="s">
        <v>408</v>
      </c>
      <c r="F1056" t="s">
        <v>2175</v>
      </c>
      <c r="G1056" t="str">
        <f>"200802001764"</f>
        <v>200802001764</v>
      </c>
      <c r="H1056" t="s">
        <v>2176</v>
      </c>
      <c r="I1056">
        <v>0</v>
      </c>
      <c r="J1056">
        <v>0</v>
      </c>
      <c r="K1056">
        <v>0</v>
      </c>
      <c r="L1056">
        <v>200</v>
      </c>
      <c r="M1056">
        <v>0</v>
      </c>
      <c r="N1056">
        <v>70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84</v>
      </c>
      <c r="W1056">
        <v>588</v>
      </c>
      <c r="X1056">
        <v>0</v>
      </c>
      <c r="Z1056">
        <v>0</v>
      </c>
      <c r="AA1056">
        <v>0</v>
      </c>
      <c r="AB1056">
        <v>0</v>
      </c>
      <c r="AC1056">
        <v>0</v>
      </c>
      <c r="AD1056" t="s">
        <v>2177</v>
      </c>
    </row>
    <row r="1057" spans="1:30" x14ac:dyDescent="0.25">
      <c r="H1057" t="s">
        <v>2178</v>
      </c>
    </row>
    <row r="1058" spans="1:30" x14ac:dyDescent="0.25">
      <c r="A1058">
        <v>526</v>
      </c>
      <c r="B1058">
        <v>90</v>
      </c>
      <c r="C1058" t="s">
        <v>2179</v>
      </c>
      <c r="D1058" t="s">
        <v>1279</v>
      </c>
      <c r="E1058" t="s">
        <v>35</v>
      </c>
      <c r="F1058" t="s">
        <v>2180</v>
      </c>
      <c r="G1058" t="str">
        <f>"201504005010"</f>
        <v>201504005010</v>
      </c>
      <c r="H1058" t="s">
        <v>1758</v>
      </c>
      <c r="I1058">
        <v>0</v>
      </c>
      <c r="J1058">
        <v>0</v>
      </c>
      <c r="K1058">
        <v>0</v>
      </c>
      <c r="L1058">
        <v>260</v>
      </c>
      <c r="M1058">
        <v>0</v>
      </c>
      <c r="N1058">
        <v>30</v>
      </c>
      <c r="O1058">
        <v>30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68</v>
      </c>
      <c r="W1058">
        <v>476</v>
      </c>
      <c r="X1058">
        <v>0</v>
      </c>
      <c r="Z1058">
        <v>0</v>
      </c>
      <c r="AA1058">
        <v>0</v>
      </c>
      <c r="AB1058">
        <v>0</v>
      </c>
      <c r="AC1058">
        <v>0</v>
      </c>
      <c r="AD1058" t="s">
        <v>2181</v>
      </c>
    </row>
    <row r="1059" spans="1:30" x14ac:dyDescent="0.25">
      <c r="H1059" t="s">
        <v>32</v>
      </c>
    </row>
    <row r="1060" spans="1:30" x14ac:dyDescent="0.25">
      <c r="A1060">
        <v>527</v>
      </c>
      <c r="B1060">
        <v>219</v>
      </c>
      <c r="C1060" t="s">
        <v>2182</v>
      </c>
      <c r="D1060" t="s">
        <v>28</v>
      </c>
      <c r="E1060" t="s">
        <v>135</v>
      </c>
      <c r="F1060" t="s">
        <v>2183</v>
      </c>
      <c r="G1060" t="str">
        <f>"201511038887"</f>
        <v>201511038887</v>
      </c>
      <c r="H1060" t="s">
        <v>891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60</v>
      </c>
      <c r="W1060">
        <v>420</v>
      </c>
      <c r="X1060">
        <v>0</v>
      </c>
      <c r="Z1060">
        <v>0</v>
      </c>
      <c r="AA1060">
        <v>0</v>
      </c>
      <c r="AB1060">
        <v>24</v>
      </c>
      <c r="AC1060">
        <v>408</v>
      </c>
      <c r="AD1060" t="s">
        <v>2184</v>
      </c>
    </row>
    <row r="1061" spans="1:30" x14ac:dyDescent="0.25">
      <c r="H1061" t="s">
        <v>2185</v>
      </c>
    </row>
    <row r="1062" spans="1:30" x14ac:dyDescent="0.25">
      <c r="A1062">
        <v>528</v>
      </c>
      <c r="B1062">
        <v>2742</v>
      </c>
      <c r="C1062" t="s">
        <v>1511</v>
      </c>
      <c r="D1062" t="s">
        <v>357</v>
      </c>
      <c r="E1062" t="s">
        <v>42</v>
      </c>
      <c r="F1062" t="s">
        <v>2186</v>
      </c>
      <c r="G1062" t="str">
        <f>"00360426"</f>
        <v>00360426</v>
      </c>
      <c r="H1062" t="s">
        <v>215</v>
      </c>
      <c r="I1062">
        <v>0</v>
      </c>
      <c r="J1062">
        <v>0</v>
      </c>
      <c r="K1062">
        <v>0</v>
      </c>
      <c r="L1062">
        <v>200</v>
      </c>
      <c r="M1062">
        <v>0</v>
      </c>
      <c r="N1062">
        <v>70</v>
      </c>
      <c r="O1062">
        <v>70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60</v>
      </c>
      <c r="W1062">
        <v>420</v>
      </c>
      <c r="X1062">
        <v>0</v>
      </c>
      <c r="Z1062">
        <v>0</v>
      </c>
      <c r="AA1062">
        <v>0</v>
      </c>
      <c r="AB1062">
        <v>0</v>
      </c>
      <c r="AC1062">
        <v>0</v>
      </c>
      <c r="AD1062" t="s">
        <v>2187</v>
      </c>
    </row>
    <row r="1063" spans="1:30" x14ac:dyDescent="0.25">
      <c r="H1063" t="s">
        <v>2188</v>
      </c>
    </row>
    <row r="1064" spans="1:30" x14ac:dyDescent="0.25">
      <c r="A1064">
        <v>529</v>
      </c>
      <c r="B1064">
        <v>18</v>
      </c>
      <c r="C1064" t="s">
        <v>2189</v>
      </c>
      <c r="D1064" t="s">
        <v>89</v>
      </c>
      <c r="E1064" t="s">
        <v>148</v>
      </c>
      <c r="F1064" t="s">
        <v>2190</v>
      </c>
      <c r="G1064" t="str">
        <f>"200802001072"</f>
        <v>200802001072</v>
      </c>
      <c r="H1064" t="s">
        <v>656</v>
      </c>
      <c r="I1064">
        <v>0</v>
      </c>
      <c r="J1064">
        <v>0</v>
      </c>
      <c r="K1064">
        <v>0</v>
      </c>
      <c r="L1064">
        <v>200</v>
      </c>
      <c r="M1064">
        <v>0</v>
      </c>
      <c r="N1064">
        <v>70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84</v>
      </c>
      <c r="W1064">
        <v>588</v>
      </c>
      <c r="X1064">
        <v>0</v>
      </c>
      <c r="Z1064">
        <v>0</v>
      </c>
      <c r="AA1064">
        <v>0</v>
      </c>
      <c r="AB1064">
        <v>0</v>
      </c>
      <c r="AC1064">
        <v>0</v>
      </c>
      <c r="AD1064" t="s">
        <v>2191</v>
      </c>
    </row>
    <row r="1065" spans="1:30" x14ac:dyDescent="0.25">
      <c r="H1065" t="s">
        <v>2192</v>
      </c>
    </row>
    <row r="1066" spans="1:30" x14ac:dyDescent="0.25">
      <c r="A1066">
        <v>530</v>
      </c>
      <c r="B1066">
        <v>636</v>
      </c>
      <c r="C1066" t="s">
        <v>2193</v>
      </c>
      <c r="D1066" t="s">
        <v>119</v>
      </c>
      <c r="E1066" t="s">
        <v>225</v>
      </c>
      <c r="F1066" t="s">
        <v>2194</v>
      </c>
      <c r="G1066" t="str">
        <f>"201402006190"</f>
        <v>201402006190</v>
      </c>
      <c r="H1066" t="s">
        <v>656</v>
      </c>
      <c r="I1066">
        <v>0</v>
      </c>
      <c r="J1066">
        <v>0</v>
      </c>
      <c r="K1066">
        <v>0</v>
      </c>
      <c r="L1066">
        <v>200</v>
      </c>
      <c r="M1066">
        <v>0</v>
      </c>
      <c r="N1066">
        <v>70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84</v>
      </c>
      <c r="W1066">
        <v>588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2191</v>
      </c>
    </row>
    <row r="1067" spans="1:30" x14ac:dyDescent="0.25">
      <c r="H1067" t="s">
        <v>2195</v>
      </c>
    </row>
    <row r="1068" spans="1:30" x14ac:dyDescent="0.25">
      <c r="A1068">
        <v>531</v>
      </c>
      <c r="B1068">
        <v>3501</v>
      </c>
      <c r="C1068" t="s">
        <v>2196</v>
      </c>
      <c r="D1068" t="s">
        <v>135</v>
      </c>
      <c r="E1068" t="s">
        <v>35</v>
      </c>
      <c r="F1068" t="s">
        <v>2197</v>
      </c>
      <c r="G1068" t="str">
        <f>"200802005412"</f>
        <v>200802005412</v>
      </c>
      <c r="H1068" t="s">
        <v>1370</v>
      </c>
      <c r="I1068">
        <v>0</v>
      </c>
      <c r="J1068">
        <v>0</v>
      </c>
      <c r="K1068">
        <v>0</v>
      </c>
      <c r="L1068">
        <v>0</v>
      </c>
      <c r="M1068">
        <v>100</v>
      </c>
      <c r="N1068">
        <v>50</v>
      </c>
      <c r="O1068">
        <v>0</v>
      </c>
      <c r="P1068">
        <v>70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84</v>
      </c>
      <c r="W1068">
        <v>588</v>
      </c>
      <c r="X1068">
        <v>0</v>
      </c>
      <c r="Z1068">
        <v>0</v>
      </c>
      <c r="AA1068">
        <v>0</v>
      </c>
      <c r="AB1068">
        <v>0</v>
      </c>
      <c r="AC1068">
        <v>0</v>
      </c>
      <c r="AD1068" t="s">
        <v>2198</v>
      </c>
    </row>
    <row r="1069" spans="1:30" x14ac:dyDescent="0.25">
      <c r="H1069">
        <v>1078</v>
      </c>
    </row>
    <row r="1070" spans="1:30" x14ac:dyDescent="0.25">
      <c r="A1070">
        <v>532</v>
      </c>
      <c r="B1070">
        <v>807</v>
      </c>
      <c r="C1070" t="s">
        <v>2199</v>
      </c>
      <c r="D1070" t="s">
        <v>2200</v>
      </c>
      <c r="E1070" t="s">
        <v>42</v>
      </c>
      <c r="F1070" t="s">
        <v>2201</v>
      </c>
      <c r="G1070" t="str">
        <f>"00027824"</f>
        <v>00027824</v>
      </c>
      <c r="H1070" t="s">
        <v>289</v>
      </c>
      <c r="I1070">
        <v>0</v>
      </c>
      <c r="J1070">
        <v>0</v>
      </c>
      <c r="K1070">
        <v>0</v>
      </c>
      <c r="L1070">
        <v>200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84</v>
      </c>
      <c r="W1070">
        <v>588</v>
      </c>
      <c r="X1070">
        <v>0</v>
      </c>
      <c r="Z1070">
        <v>0</v>
      </c>
      <c r="AA1070">
        <v>0</v>
      </c>
      <c r="AB1070">
        <v>0</v>
      </c>
      <c r="AC1070">
        <v>0</v>
      </c>
      <c r="AD1070" t="s">
        <v>2202</v>
      </c>
    </row>
    <row r="1071" spans="1:30" x14ac:dyDescent="0.25">
      <c r="H1071" t="s">
        <v>2203</v>
      </c>
    </row>
    <row r="1072" spans="1:30" x14ac:dyDescent="0.25">
      <c r="A1072">
        <v>533</v>
      </c>
      <c r="B1072">
        <v>5018</v>
      </c>
      <c r="C1072" t="s">
        <v>2204</v>
      </c>
      <c r="D1072" t="s">
        <v>293</v>
      </c>
      <c r="E1072" t="s">
        <v>2205</v>
      </c>
      <c r="F1072" t="s">
        <v>2206</v>
      </c>
      <c r="G1072" t="str">
        <f>"00182230"</f>
        <v>00182230</v>
      </c>
      <c r="H1072" t="s">
        <v>215</v>
      </c>
      <c r="I1072">
        <v>0</v>
      </c>
      <c r="J1072">
        <v>0</v>
      </c>
      <c r="K1072">
        <v>0</v>
      </c>
      <c r="L1072">
        <v>200</v>
      </c>
      <c r="M1072">
        <v>0</v>
      </c>
      <c r="N1072">
        <v>50</v>
      </c>
      <c r="O1072">
        <v>50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65</v>
      </c>
      <c r="W1072">
        <v>455</v>
      </c>
      <c r="X1072">
        <v>0</v>
      </c>
      <c r="Z1072">
        <v>0</v>
      </c>
      <c r="AA1072">
        <v>0</v>
      </c>
      <c r="AB1072">
        <v>0</v>
      </c>
      <c r="AC1072">
        <v>0</v>
      </c>
      <c r="AD1072" t="s">
        <v>2207</v>
      </c>
    </row>
    <row r="1073" spans="1:30" x14ac:dyDescent="0.25">
      <c r="H1073" t="s">
        <v>2208</v>
      </c>
    </row>
    <row r="1074" spans="1:30" x14ac:dyDescent="0.25">
      <c r="A1074">
        <v>534</v>
      </c>
      <c r="B1074">
        <v>4246</v>
      </c>
      <c r="C1074" t="s">
        <v>2209</v>
      </c>
      <c r="D1074" t="s">
        <v>2210</v>
      </c>
      <c r="E1074" t="s">
        <v>2211</v>
      </c>
      <c r="F1074" t="s">
        <v>2212</v>
      </c>
      <c r="G1074" t="str">
        <f>"00364831"</f>
        <v>00364831</v>
      </c>
      <c r="H1074" t="s">
        <v>946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50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60</v>
      </c>
      <c r="W1074">
        <v>420</v>
      </c>
      <c r="X1074">
        <v>0</v>
      </c>
      <c r="Z1074">
        <v>0</v>
      </c>
      <c r="AA1074">
        <v>0</v>
      </c>
      <c r="AB1074">
        <v>24</v>
      </c>
      <c r="AC1074">
        <v>408</v>
      </c>
      <c r="AD1074" t="s">
        <v>2213</v>
      </c>
    </row>
    <row r="1075" spans="1:30" x14ac:dyDescent="0.25">
      <c r="H1075" t="s">
        <v>2214</v>
      </c>
    </row>
    <row r="1076" spans="1:30" x14ac:dyDescent="0.25">
      <c r="A1076">
        <v>535</v>
      </c>
      <c r="B1076">
        <v>4296</v>
      </c>
      <c r="C1076" t="s">
        <v>2215</v>
      </c>
      <c r="D1076" t="s">
        <v>89</v>
      </c>
      <c r="E1076" t="s">
        <v>253</v>
      </c>
      <c r="F1076" t="s">
        <v>2216</v>
      </c>
      <c r="G1076" t="str">
        <f>"00360523"</f>
        <v>00360523</v>
      </c>
      <c r="H1076" t="s">
        <v>227</v>
      </c>
      <c r="I1076">
        <v>0</v>
      </c>
      <c r="J1076">
        <v>0</v>
      </c>
      <c r="K1076">
        <v>0</v>
      </c>
      <c r="L1076">
        <v>200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84</v>
      </c>
      <c r="W1076">
        <v>588</v>
      </c>
      <c r="X1076">
        <v>0</v>
      </c>
      <c r="Z1076">
        <v>0</v>
      </c>
      <c r="AA1076">
        <v>0</v>
      </c>
      <c r="AB1076">
        <v>0</v>
      </c>
      <c r="AC1076">
        <v>0</v>
      </c>
      <c r="AD1076" t="s">
        <v>2217</v>
      </c>
    </row>
    <row r="1077" spans="1:30" x14ac:dyDescent="0.25">
      <c r="H1077" t="s">
        <v>2218</v>
      </c>
    </row>
    <row r="1078" spans="1:30" x14ac:dyDescent="0.25">
      <c r="A1078">
        <v>536</v>
      </c>
      <c r="B1078">
        <v>3089</v>
      </c>
      <c r="C1078" t="s">
        <v>2219</v>
      </c>
      <c r="D1078" t="s">
        <v>283</v>
      </c>
      <c r="E1078" t="s">
        <v>203</v>
      </c>
      <c r="F1078" t="s">
        <v>2220</v>
      </c>
      <c r="G1078" t="str">
        <f>"201412004116"</f>
        <v>201412004116</v>
      </c>
      <c r="H1078" t="s">
        <v>752</v>
      </c>
      <c r="I1078">
        <v>0</v>
      </c>
      <c r="J1078">
        <v>0</v>
      </c>
      <c r="K1078">
        <v>0</v>
      </c>
      <c r="L1078">
        <v>0</v>
      </c>
      <c r="M1078">
        <v>100</v>
      </c>
      <c r="N1078">
        <v>70</v>
      </c>
      <c r="O1078">
        <v>0</v>
      </c>
      <c r="P1078">
        <v>0</v>
      </c>
      <c r="Q1078">
        <v>0</v>
      </c>
      <c r="R1078">
        <v>30</v>
      </c>
      <c r="S1078">
        <v>0</v>
      </c>
      <c r="T1078">
        <v>0</v>
      </c>
      <c r="U1078">
        <v>0</v>
      </c>
      <c r="V1078">
        <v>84</v>
      </c>
      <c r="W1078">
        <v>588</v>
      </c>
      <c r="X1078">
        <v>0</v>
      </c>
      <c r="Z1078">
        <v>0</v>
      </c>
      <c r="AA1078">
        <v>0</v>
      </c>
      <c r="AB1078">
        <v>0</v>
      </c>
      <c r="AC1078">
        <v>0</v>
      </c>
      <c r="AD1078" t="s">
        <v>2221</v>
      </c>
    </row>
    <row r="1079" spans="1:30" x14ac:dyDescent="0.25">
      <c r="H1079" t="s">
        <v>2222</v>
      </c>
    </row>
    <row r="1080" spans="1:30" x14ac:dyDescent="0.25">
      <c r="A1080">
        <v>537</v>
      </c>
      <c r="B1080">
        <v>2001</v>
      </c>
      <c r="C1080" t="s">
        <v>2223</v>
      </c>
      <c r="D1080" t="s">
        <v>2224</v>
      </c>
      <c r="E1080" t="s">
        <v>174</v>
      </c>
      <c r="F1080" t="s">
        <v>2225</v>
      </c>
      <c r="G1080" t="str">
        <f>"00030538"</f>
        <v>00030538</v>
      </c>
      <c r="H1080">
        <v>693</v>
      </c>
      <c r="I1080">
        <v>0</v>
      </c>
      <c r="J1080">
        <v>0</v>
      </c>
      <c r="K1080">
        <v>0</v>
      </c>
      <c r="L1080">
        <v>260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84</v>
      </c>
      <c r="W1080">
        <v>588</v>
      </c>
      <c r="X1080">
        <v>0</v>
      </c>
      <c r="Z1080">
        <v>0</v>
      </c>
      <c r="AA1080">
        <v>0</v>
      </c>
      <c r="AB1080">
        <v>0</v>
      </c>
      <c r="AC1080">
        <v>0</v>
      </c>
      <c r="AD1080">
        <v>1571</v>
      </c>
    </row>
    <row r="1081" spans="1:30" x14ac:dyDescent="0.25">
      <c r="H1081" t="s">
        <v>2226</v>
      </c>
    </row>
    <row r="1082" spans="1:30" x14ac:dyDescent="0.25">
      <c r="A1082">
        <v>538</v>
      </c>
      <c r="B1082">
        <v>2980</v>
      </c>
      <c r="C1082" t="s">
        <v>1048</v>
      </c>
      <c r="D1082" t="s">
        <v>42</v>
      </c>
      <c r="E1082" t="s">
        <v>108</v>
      </c>
      <c r="F1082" t="s">
        <v>2227</v>
      </c>
      <c r="G1082" t="str">
        <f>"201406018618"</f>
        <v>201406018618</v>
      </c>
      <c r="H1082" t="s">
        <v>2165</v>
      </c>
      <c r="I1082">
        <v>0</v>
      </c>
      <c r="J1082">
        <v>0</v>
      </c>
      <c r="K1082">
        <v>0</v>
      </c>
      <c r="L1082">
        <v>200</v>
      </c>
      <c r="M1082">
        <v>0</v>
      </c>
      <c r="N1082">
        <v>30</v>
      </c>
      <c r="O1082">
        <v>30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84</v>
      </c>
      <c r="W1082">
        <v>588</v>
      </c>
      <c r="X1082">
        <v>0</v>
      </c>
      <c r="Z1082">
        <v>0</v>
      </c>
      <c r="AA1082">
        <v>0</v>
      </c>
      <c r="AB1082">
        <v>0</v>
      </c>
      <c r="AC1082">
        <v>0</v>
      </c>
      <c r="AD1082" t="s">
        <v>2228</v>
      </c>
    </row>
    <row r="1083" spans="1:30" x14ac:dyDescent="0.25">
      <c r="H1083" t="s">
        <v>1764</v>
      </c>
    </row>
    <row r="1084" spans="1:30" x14ac:dyDescent="0.25">
      <c r="A1084">
        <v>539</v>
      </c>
      <c r="B1084">
        <v>2114</v>
      </c>
      <c r="C1084" t="s">
        <v>2229</v>
      </c>
      <c r="D1084" t="s">
        <v>14</v>
      </c>
      <c r="E1084" t="s">
        <v>135</v>
      </c>
      <c r="F1084" t="s">
        <v>2230</v>
      </c>
      <c r="G1084" t="str">
        <f>"201406005702"</f>
        <v>201406005702</v>
      </c>
      <c r="H1084" t="s">
        <v>761</v>
      </c>
      <c r="I1084">
        <v>0</v>
      </c>
      <c r="J1084">
        <v>0</v>
      </c>
      <c r="K1084">
        <v>0</v>
      </c>
      <c r="L1084">
        <v>200</v>
      </c>
      <c r="M1084">
        <v>0</v>
      </c>
      <c r="N1084">
        <v>30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84</v>
      </c>
      <c r="W1084">
        <v>588</v>
      </c>
      <c r="X1084">
        <v>0</v>
      </c>
      <c r="Z1084">
        <v>0</v>
      </c>
      <c r="AA1084">
        <v>0</v>
      </c>
      <c r="AB1084">
        <v>0</v>
      </c>
      <c r="AC1084">
        <v>0</v>
      </c>
      <c r="AD1084" t="s">
        <v>2231</v>
      </c>
    </row>
    <row r="1085" spans="1:30" x14ac:dyDescent="0.25">
      <c r="H1085" t="s">
        <v>2232</v>
      </c>
    </row>
    <row r="1086" spans="1:30" x14ac:dyDescent="0.25">
      <c r="A1086">
        <v>540</v>
      </c>
      <c r="B1086">
        <v>306</v>
      </c>
      <c r="C1086" t="s">
        <v>2233</v>
      </c>
      <c r="D1086" t="s">
        <v>65</v>
      </c>
      <c r="E1086" t="s">
        <v>984</v>
      </c>
      <c r="F1086" t="s">
        <v>2234</v>
      </c>
      <c r="G1086" t="str">
        <f>"00286776"</f>
        <v>00286776</v>
      </c>
      <c r="H1086" t="s">
        <v>2128</v>
      </c>
      <c r="I1086">
        <v>0</v>
      </c>
      <c r="J1086">
        <v>0</v>
      </c>
      <c r="K1086">
        <v>0</v>
      </c>
      <c r="L1086">
        <v>0</v>
      </c>
      <c r="M1086">
        <v>100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84</v>
      </c>
      <c r="W1086">
        <v>588</v>
      </c>
      <c r="X1086">
        <v>0</v>
      </c>
      <c r="Z1086">
        <v>0</v>
      </c>
      <c r="AA1086">
        <v>0</v>
      </c>
      <c r="AB1086">
        <v>0</v>
      </c>
      <c r="AC1086">
        <v>0</v>
      </c>
      <c r="AD1086" t="s">
        <v>2235</v>
      </c>
    </row>
    <row r="1087" spans="1:30" x14ac:dyDescent="0.25">
      <c r="H1087" t="s">
        <v>2236</v>
      </c>
    </row>
    <row r="1088" spans="1:30" x14ac:dyDescent="0.25">
      <c r="A1088">
        <v>541</v>
      </c>
      <c r="B1088">
        <v>2660</v>
      </c>
      <c r="C1088" t="s">
        <v>461</v>
      </c>
      <c r="D1088" t="s">
        <v>593</v>
      </c>
      <c r="E1088" t="s">
        <v>2237</v>
      </c>
      <c r="F1088" t="s">
        <v>2238</v>
      </c>
      <c r="G1088" t="str">
        <f>"201511037432"</f>
        <v>201511037432</v>
      </c>
      <c r="H1088" t="s">
        <v>98</v>
      </c>
      <c r="I1088">
        <v>0</v>
      </c>
      <c r="J1088">
        <v>0</v>
      </c>
      <c r="K1088">
        <v>0</v>
      </c>
      <c r="L1088">
        <v>200</v>
      </c>
      <c r="M1088">
        <v>0</v>
      </c>
      <c r="N1088">
        <v>70</v>
      </c>
      <c r="O1088">
        <v>50</v>
      </c>
      <c r="P1088">
        <v>30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48</v>
      </c>
      <c r="W1088">
        <v>336</v>
      </c>
      <c r="X1088">
        <v>0</v>
      </c>
      <c r="Z1088">
        <v>0</v>
      </c>
      <c r="AA1088">
        <v>0</v>
      </c>
      <c r="AB1088">
        <v>0</v>
      </c>
      <c r="AC1088">
        <v>0</v>
      </c>
      <c r="AD1088" t="s">
        <v>2239</v>
      </c>
    </row>
    <row r="1089" spans="1:30" x14ac:dyDescent="0.25">
      <c r="H1089" t="s">
        <v>2240</v>
      </c>
    </row>
    <row r="1090" spans="1:30" x14ac:dyDescent="0.25">
      <c r="A1090">
        <v>542</v>
      </c>
      <c r="B1090">
        <v>3978</v>
      </c>
      <c r="C1090" t="s">
        <v>2241</v>
      </c>
      <c r="D1090" t="s">
        <v>539</v>
      </c>
      <c r="E1090" t="s">
        <v>148</v>
      </c>
      <c r="F1090" t="s">
        <v>2242</v>
      </c>
      <c r="G1090" t="str">
        <f>"00248415"</f>
        <v>00248415</v>
      </c>
      <c r="H1090" t="s">
        <v>1769</v>
      </c>
      <c r="I1090">
        <v>0</v>
      </c>
      <c r="J1090">
        <v>0</v>
      </c>
      <c r="K1090">
        <v>0</v>
      </c>
      <c r="L1090">
        <v>200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84</v>
      </c>
      <c r="W1090">
        <v>588</v>
      </c>
      <c r="X1090">
        <v>0</v>
      </c>
      <c r="Z1090">
        <v>0</v>
      </c>
      <c r="AA1090">
        <v>0</v>
      </c>
      <c r="AB1090">
        <v>0</v>
      </c>
      <c r="AC1090">
        <v>0</v>
      </c>
      <c r="AD1090" t="s">
        <v>2239</v>
      </c>
    </row>
    <row r="1091" spans="1:30" x14ac:dyDescent="0.25">
      <c r="H1091" t="s">
        <v>2243</v>
      </c>
    </row>
    <row r="1092" spans="1:30" x14ac:dyDescent="0.25">
      <c r="A1092">
        <v>543</v>
      </c>
      <c r="B1092">
        <v>3937</v>
      </c>
      <c r="C1092" t="s">
        <v>2244</v>
      </c>
      <c r="D1092" t="s">
        <v>2245</v>
      </c>
      <c r="E1092" t="s">
        <v>59</v>
      </c>
      <c r="F1092" t="s">
        <v>2246</v>
      </c>
      <c r="G1092" t="str">
        <f>"00359710"</f>
        <v>00359710</v>
      </c>
      <c r="H1092" t="s">
        <v>2247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30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60</v>
      </c>
      <c r="W1092">
        <v>420</v>
      </c>
      <c r="X1092">
        <v>0</v>
      </c>
      <c r="Z1092">
        <v>0</v>
      </c>
      <c r="AA1092">
        <v>0</v>
      </c>
      <c r="AB1092">
        <v>24</v>
      </c>
      <c r="AC1092">
        <v>408</v>
      </c>
      <c r="AD1092" t="s">
        <v>2248</v>
      </c>
    </row>
    <row r="1093" spans="1:30" x14ac:dyDescent="0.25">
      <c r="H1093" t="s">
        <v>2249</v>
      </c>
    </row>
    <row r="1094" spans="1:30" x14ac:dyDescent="0.25">
      <c r="A1094">
        <v>544</v>
      </c>
      <c r="B1094">
        <v>343</v>
      </c>
      <c r="C1094" t="s">
        <v>2250</v>
      </c>
      <c r="D1094" t="s">
        <v>373</v>
      </c>
      <c r="E1094" t="s">
        <v>135</v>
      </c>
      <c r="F1094" t="s">
        <v>2251</v>
      </c>
      <c r="G1094" t="str">
        <f>"201603000292"</f>
        <v>201603000292</v>
      </c>
      <c r="H1094" t="s">
        <v>832</v>
      </c>
      <c r="I1094">
        <v>0</v>
      </c>
      <c r="J1094">
        <v>0</v>
      </c>
      <c r="K1094">
        <v>0</v>
      </c>
      <c r="L1094">
        <v>200</v>
      </c>
      <c r="M1094">
        <v>0</v>
      </c>
      <c r="N1094">
        <v>30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84</v>
      </c>
      <c r="W1094">
        <v>588</v>
      </c>
      <c r="X1094">
        <v>0</v>
      </c>
      <c r="Z1094">
        <v>0</v>
      </c>
      <c r="AA1094">
        <v>0</v>
      </c>
      <c r="AB1094">
        <v>0</v>
      </c>
      <c r="AC1094">
        <v>0</v>
      </c>
      <c r="AD1094" t="s">
        <v>2252</v>
      </c>
    </row>
    <row r="1095" spans="1:30" x14ac:dyDescent="0.25">
      <c r="H1095" t="s">
        <v>2253</v>
      </c>
    </row>
    <row r="1096" spans="1:30" x14ac:dyDescent="0.25">
      <c r="A1096">
        <v>545</v>
      </c>
      <c r="B1096">
        <v>2099</v>
      </c>
      <c r="C1096" t="s">
        <v>2254</v>
      </c>
      <c r="D1096" t="s">
        <v>107</v>
      </c>
      <c r="E1096" t="s">
        <v>203</v>
      </c>
      <c r="F1096" t="s">
        <v>2255</v>
      </c>
      <c r="G1096" t="str">
        <f>"00329278"</f>
        <v>00329278</v>
      </c>
      <c r="H1096" t="s">
        <v>2256</v>
      </c>
      <c r="I1096">
        <v>0</v>
      </c>
      <c r="J1096">
        <v>0</v>
      </c>
      <c r="K1096">
        <v>0</v>
      </c>
      <c r="L1096">
        <v>200</v>
      </c>
      <c r="M1096">
        <v>0</v>
      </c>
      <c r="N1096">
        <v>70</v>
      </c>
      <c r="O1096">
        <v>0</v>
      </c>
      <c r="P1096">
        <v>30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84</v>
      </c>
      <c r="W1096">
        <v>588</v>
      </c>
      <c r="X1096">
        <v>0</v>
      </c>
      <c r="Z1096">
        <v>0</v>
      </c>
      <c r="AA1096">
        <v>0</v>
      </c>
      <c r="AB1096">
        <v>0</v>
      </c>
      <c r="AC1096">
        <v>0</v>
      </c>
      <c r="AD1096" t="s">
        <v>2257</v>
      </c>
    </row>
    <row r="1097" spans="1:30" x14ac:dyDescent="0.25">
      <c r="H1097" t="s">
        <v>2258</v>
      </c>
    </row>
    <row r="1098" spans="1:30" x14ac:dyDescent="0.25">
      <c r="A1098">
        <v>546</v>
      </c>
      <c r="B1098">
        <v>5124</v>
      </c>
      <c r="C1098" t="s">
        <v>1274</v>
      </c>
      <c r="D1098" t="s">
        <v>34</v>
      </c>
      <c r="E1098" t="s">
        <v>2259</v>
      </c>
      <c r="F1098" t="s">
        <v>2260</v>
      </c>
      <c r="G1098" t="str">
        <f>"00369121"</f>
        <v>00369121</v>
      </c>
      <c r="H1098">
        <v>748</v>
      </c>
      <c r="I1098">
        <v>0</v>
      </c>
      <c r="J1098">
        <v>0</v>
      </c>
      <c r="K1098">
        <v>0</v>
      </c>
      <c r="L1098">
        <v>200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84</v>
      </c>
      <c r="W1098">
        <v>588</v>
      </c>
      <c r="X1098">
        <v>0</v>
      </c>
      <c r="Z1098">
        <v>0</v>
      </c>
      <c r="AA1098">
        <v>0</v>
      </c>
      <c r="AB1098">
        <v>0</v>
      </c>
      <c r="AC1098">
        <v>0</v>
      </c>
      <c r="AD1098">
        <v>1566</v>
      </c>
    </row>
    <row r="1099" spans="1:30" x14ac:dyDescent="0.25">
      <c r="H1099" t="s">
        <v>2261</v>
      </c>
    </row>
    <row r="1100" spans="1:30" x14ac:dyDescent="0.25">
      <c r="A1100">
        <v>547</v>
      </c>
      <c r="B1100">
        <v>4466</v>
      </c>
      <c r="C1100" t="s">
        <v>2262</v>
      </c>
      <c r="D1100" t="s">
        <v>1405</v>
      </c>
      <c r="E1100" t="s">
        <v>135</v>
      </c>
      <c r="F1100" t="s">
        <v>2263</v>
      </c>
      <c r="G1100" t="str">
        <f>"201511042544"</f>
        <v>201511042544</v>
      </c>
      <c r="H1100" t="s">
        <v>747</v>
      </c>
      <c r="I1100">
        <v>0</v>
      </c>
      <c r="J1100">
        <v>0</v>
      </c>
      <c r="K1100">
        <v>0</v>
      </c>
      <c r="L1100">
        <v>260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67</v>
      </c>
      <c r="W1100">
        <v>469</v>
      </c>
      <c r="X1100">
        <v>0</v>
      </c>
      <c r="Z1100">
        <v>0</v>
      </c>
      <c r="AA1100">
        <v>0</v>
      </c>
      <c r="AB1100">
        <v>0</v>
      </c>
      <c r="AC1100">
        <v>0</v>
      </c>
      <c r="AD1100" t="s">
        <v>2264</v>
      </c>
    </row>
    <row r="1101" spans="1:30" x14ac:dyDescent="0.25">
      <c r="H1101" t="s">
        <v>2265</v>
      </c>
    </row>
    <row r="1102" spans="1:30" x14ac:dyDescent="0.25">
      <c r="A1102">
        <v>548</v>
      </c>
      <c r="B1102">
        <v>1951</v>
      </c>
      <c r="C1102" t="s">
        <v>2266</v>
      </c>
      <c r="D1102" t="s">
        <v>142</v>
      </c>
      <c r="E1102" t="s">
        <v>2267</v>
      </c>
      <c r="F1102" t="s">
        <v>2268</v>
      </c>
      <c r="G1102" t="str">
        <f>"00329910"</f>
        <v>00329910</v>
      </c>
      <c r="H1102" t="s">
        <v>395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70</v>
      </c>
      <c r="O1102">
        <v>50</v>
      </c>
      <c r="P1102">
        <v>0</v>
      </c>
      <c r="Q1102">
        <v>30</v>
      </c>
      <c r="R1102">
        <v>0</v>
      </c>
      <c r="S1102">
        <v>0</v>
      </c>
      <c r="T1102">
        <v>0</v>
      </c>
      <c r="U1102">
        <v>0</v>
      </c>
      <c r="V1102">
        <v>84</v>
      </c>
      <c r="W1102">
        <v>588</v>
      </c>
      <c r="X1102">
        <v>0</v>
      </c>
      <c r="Z1102">
        <v>0</v>
      </c>
      <c r="AA1102">
        <v>0</v>
      </c>
      <c r="AB1102">
        <v>0</v>
      </c>
      <c r="AC1102">
        <v>0</v>
      </c>
      <c r="AD1102" t="s">
        <v>2269</v>
      </c>
    </row>
    <row r="1103" spans="1:30" x14ac:dyDescent="0.25">
      <c r="H1103" t="s">
        <v>2270</v>
      </c>
    </row>
    <row r="1104" spans="1:30" x14ac:dyDescent="0.25">
      <c r="A1104">
        <v>549</v>
      </c>
      <c r="B1104">
        <v>1288</v>
      </c>
      <c r="C1104" t="s">
        <v>2271</v>
      </c>
      <c r="D1104" t="s">
        <v>2211</v>
      </c>
      <c r="E1104" t="s">
        <v>225</v>
      </c>
      <c r="F1104" t="s">
        <v>2272</v>
      </c>
      <c r="G1104" t="str">
        <f>"00271348"</f>
        <v>00271348</v>
      </c>
      <c r="H1104" t="s">
        <v>2273</v>
      </c>
      <c r="I1104">
        <v>0</v>
      </c>
      <c r="J1104">
        <v>0</v>
      </c>
      <c r="K1104">
        <v>0</v>
      </c>
      <c r="L1104">
        <v>200</v>
      </c>
      <c r="M1104">
        <v>30</v>
      </c>
      <c r="N1104">
        <v>70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84</v>
      </c>
      <c r="W1104">
        <v>588</v>
      </c>
      <c r="X1104">
        <v>0</v>
      </c>
      <c r="Z1104">
        <v>0</v>
      </c>
      <c r="AA1104">
        <v>0</v>
      </c>
      <c r="AB1104">
        <v>0</v>
      </c>
      <c r="AC1104">
        <v>0</v>
      </c>
      <c r="AD1104" t="s">
        <v>2274</v>
      </c>
    </row>
    <row r="1105" spans="1:30" x14ac:dyDescent="0.25">
      <c r="H1105" t="s">
        <v>1042</v>
      </c>
    </row>
    <row r="1106" spans="1:30" x14ac:dyDescent="0.25">
      <c r="A1106">
        <v>550</v>
      </c>
      <c r="B1106">
        <v>1931</v>
      </c>
      <c r="C1106" t="s">
        <v>2275</v>
      </c>
      <c r="D1106" t="s">
        <v>225</v>
      </c>
      <c r="E1106" t="s">
        <v>28</v>
      </c>
      <c r="F1106" t="s">
        <v>2276</v>
      </c>
      <c r="G1106" t="str">
        <f>"00015505"</f>
        <v>00015505</v>
      </c>
      <c r="H1106" t="s">
        <v>1907</v>
      </c>
      <c r="I1106">
        <v>0</v>
      </c>
      <c r="J1106">
        <v>0</v>
      </c>
      <c r="K1106">
        <v>0</v>
      </c>
      <c r="L1106">
        <v>200</v>
      </c>
      <c r="M1106">
        <v>0</v>
      </c>
      <c r="N1106">
        <v>70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76</v>
      </c>
      <c r="W1106">
        <v>532</v>
      </c>
      <c r="X1106">
        <v>0</v>
      </c>
      <c r="Z1106">
        <v>0</v>
      </c>
      <c r="AA1106">
        <v>0</v>
      </c>
      <c r="AB1106">
        <v>0</v>
      </c>
      <c r="AC1106">
        <v>0</v>
      </c>
      <c r="AD1106" t="s">
        <v>2277</v>
      </c>
    </row>
    <row r="1107" spans="1:30" x14ac:dyDescent="0.25">
      <c r="H1107" t="s">
        <v>2278</v>
      </c>
    </row>
    <row r="1108" spans="1:30" x14ac:dyDescent="0.25">
      <c r="A1108">
        <v>551</v>
      </c>
      <c r="B1108">
        <v>5260</v>
      </c>
      <c r="C1108" t="s">
        <v>2279</v>
      </c>
      <c r="D1108" t="s">
        <v>58</v>
      </c>
      <c r="E1108" t="s">
        <v>158</v>
      </c>
      <c r="F1108" t="s">
        <v>2280</v>
      </c>
      <c r="G1108" t="str">
        <f>"201504000870"</f>
        <v>201504000870</v>
      </c>
      <c r="H1108" t="s">
        <v>1107</v>
      </c>
      <c r="I1108">
        <v>0</v>
      </c>
      <c r="J1108">
        <v>0</v>
      </c>
      <c r="K1108">
        <v>0</v>
      </c>
      <c r="L1108">
        <v>0</v>
      </c>
      <c r="M1108">
        <v>100</v>
      </c>
      <c r="N1108">
        <v>70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84</v>
      </c>
      <c r="W1108">
        <v>588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2281</v>
      </c>
    </row>
    <row r="1109" spans="1:30" x14ac:dyDescent="0.25">
      <c r="H1109" t="s">
        <v>2282</v>
      </c>
    </row>
    <row r="1110" spans="1:30" x14ac:dyDescent="0.25">
      <c r="A1110">
        <v>552</v>
      </c>
      <c r="B1110">
        <v>1475</v>
      </c>
      <c r="C1110" t="s">
        <v>2283</v>
      </c>
      <c r="D1110" t="s">
        <v>2284</v>
      </c>
      <c r="E1110" t="s">
        <v>42</v>
      </c>
      <c r="F1110" t="s">
        <v>2285</v>
      </c>
      <c r="G1110" t="str">
        <f>"201504003395"</f>
        <v>201504003395</v>
      </c>
      <c r="H1110" t="s">
        <v>624</v>
      </c>
      <c r="I1110">
        <v>0</v>
      </c>
      <c r="J1110">
        <v>0</v>
      </c>
      <c r="K1110">
        <v>0</v>
      </c>
      <c r="L1110">
        <v>200</v>
      </c>
      <c r="M1110">
        <v>0</v>
      </c>
      <c r="N1110">
        <v>70</v>
      </c>
      <c r="O1110">
        <v>30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66</v>
      </c>
      <c r="W1110">
        <v>462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2286</v>
      </c>
    </row>
    <row r="1111" spans="1:30" x14ac:dyDescent="0.25">
      <c r="H1111" t="s">
        <v>2287</v>
      </c>
    </row>
    <row r="1112" spans="1:30" x14ac:dyDescent="0.25">
      <c r="A1112">
        <v>553</v>
      </c>
      <c r="B1112">
        <v>2118</v>
      </c>
      <c r="C1112" t="s">
        <v>2288</v>
      </c>
      <c r="D1112" t="s">
        <v>2289</v>
      </c>
      <c r="E1112" t="s">
        <v>66</v>
      </c>
      <c r="F1112" t="s">
        <v>2290</v>
      </c>
      <c r="G1112" t="str">
        <f>"00017476"</f>
        <v>00017476</v>
      </c>
      <c r="H1112" t="s">
        <v>2291</v>
      </c>
      <c r="I1112">
        <v>0</v>
      </c>
      <c r="J1112">
        <v>0</v>
      </c>
      <c r="K1112">
        <v>0</v>
      </c>
      <c r="L1112">
        <v>200</v>
      </c>
      <c r="M1112">
        <v>0</v>
      </c>
      <c r="N1112">
        <v>0</v>
      </c>
      <c r="O1112">
        <v>0</v>
      </c>
      <c r="P1112">
        <v>70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84</v>
      </c>
      <c r="W1112">
        <v>588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2292</v>
      </c>
    </row>
    <row r="1113" spans="1:30" x14ac:dyDescent="0.25">
      <c r="H1113" t="s">
        <v>2293</v>
      </c>
    </row>
    <row r="1114" spans="1:30" x14ac:dyDescent="0.25">
      <c r="A1114">
        <v>554</v>
      </c>
      <c r="B1114">
        <v>5201</v>
      </c>
      <c r="C1114" t="s">
        <v>389</v>
      </c>
      <c r="D1114" t="s">
        <v>2294</v>
      </c>
      <c r="E1114" t="s">
        <v>77</v>
      </c>
      <c r="F1114" t="s">
        <v>2295</v>
      </c>
      <c r="G1114" t="str">
        <f>"00325805"</f>
        <v>00325805</v>
      </c>
      <c r="H1114" t="s">
        <v>2032</v>
      </c>
      <c r="I1114">
        <v>0</v>
      </c>
      <c r="J1114">
        <v>0</v>
      </c>
      <c r="K1114">
        <v>0</v>
      </c>
      <c r="L1114">
        <v>200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84</v>
      </c>
      <c r="W1114">
        <v>588</v>
      </c>
      <c r="X1114">
        <v>0</v>
      </c>
      <c r="Z1114">
        <v>0</v>
      </c>
      <c r="AA1114">
        <v>0</v>
      </c>
      <c r="AB1114">
        <v>0</v>
      </c>
      <c r="AC1114">
        <v>0</v>
      </c>
      <c r="AD1114" t="s">
        <v>2296</v>
      </c>
    </row>
    <row r="1115" spans="1:30" x14ac:dyDescent="0.25">
      <c r="H1115" t="s">
        <v>2297</v>
      </c>
    </row>
    <row r="1116" spans="1:30" x14ac:dyDescent="0.25">
      <c r="A1116">
        <v>555</v>
      </c>
      <c r="B1116">
        <v>4552</v>
      </c>
      <c r="C1116" t="s">
        <v>2298</v>
      </c>
      <c r="D1116" t="s">
        <v>2299</v>
      </c>
      <c r="E1116" t="s">
        <v>148</v>
      </c>
      <c r="F1116" t="s">
        <v>2300</v>
      </c>
      <c r="G1116" t="str">
        <f>"00364818"</f>
        <v>00364818</v>
      </c>
      <c r="H1116" t="s">
        <v>2301</v>
      </c>
      <c r="I1116">
        <v>0</v>
      </c>
      <c r="J1116">
        <v>0</v>
      </c>
      <c r="K1116">
        <v>0</v>
      </c>
      <c r="L1116">
        <v>200</v>
      </c>
      <c r="M1116">
        <v>0</v>
      </c>
      <c r="N1116">
        <v>30</v>
      </c>
      <c r="O1116">
        <v>0</v>
      </c>
      <c r="P1116">
        <v>50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84</v>
      </c>
      <c r="W1116">
        <v>588</v>
      </c>
      <c r="X1116">
        <v>0</v>
      </c>
      <c r="Z1116">
        <v>0</v>
      </c>
      <c r="AA1116">
        <v>0</v>
      </c>
      <c r="AB1116">
        <v>0</v>
      </c>
      <c r="AC1116">
        <v>0</v>
      </c>
      <c r="AD1116" t="s">
        <v>2302</v>
      </c>
    </row>
    <row r="1117" spans="1:30" x14ac:dyDescent="0.25">
      <c r="H1117" t="s">
        <v>2303</v>
      </c>
    </row>
    <row r="1118" spans="1:30" x14ac:dyDescent="0.25">
      <c r="A1118">
        <v>556</v>
      </c>
      <c r="B1118">
        <v>4992</v>
      </c>
      <c r="C1118" t="s">
        <v>2304</v>
      </c>
      <c r="D1118" t="s">
        <v>28</v>
      </c>
      <c r="E1118" t="s">
        <v>294</v>
      </c>
      <c r="F1118" t="s">
        <v>2305</v>
      </c>
      <c r="G1118" t="str">
        <f>"00165958"</f>
        <v>00165958</v>
      </c>
      <c r="H1118" t="s">
        <v>274</v>
      </c>
      <c r="I1118">
        <v>150</v>
      </c>
      <c r="J1118">
        <v>0</v>
      </c>
      <c r="K1118">
        <v>0</v>
      </c>
      <c r="L1118">
        <v>0</v>
      </c>
      <c r="M1118">
        <v>0</v>
      </c>
      <c r="N1118">
        <v>50</v>
      </c>
      <c r="O1118">
        <v>30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84</v>
      </c>
      <c r="W1118">
        <v>588</v>
      </c>
      <c r="X1118">
        <v>6</v>
      </c>
      <c r="Y1118">
        <v>1084</v>
      </c>
      <c r="Z1118">
        <v>0</v>
      </c>
      <c r="AA1118">
        <v>0</v>
      </c>
      <c r="AB1118">
        <v>0</v>
      </c>
      <c r="AC1118">
        <v>0</v>
      </c>
      <c r="AD1118" t="s">
        <v>2306</v>
      </c>
    </row>
    <row r="1119" spans="1:30" x14ac:dyDescent="0.25">
      <c r="H1119">
        <v>1084</v>
      </c>
    </row>
    <row r="1120" spans="1:30" x14ac:dyDescent="0.25">
      <c r="A1120">
        <v>557</v>
      </c>
      <c r="B1120">
        <v>4008</v>
      </c>
      <c r="C1120" t="s">
        <v>2307</v>
      </c>
      <c r="D1120" t="s">
        <v>77</v>
      </c>
      <c r="E1120" t="s">
        <v>135</v>
      </c>
      <c r="F1120" t="s">
        <v>2308</v>
      </c>
      <c r="G1120" t="str">
        <f>"00365008"</f>
        <v>00365008</v>
      </c>
      <c r="H1120" t="s">
        <v>274</v>
      </c>
      <c r="I1120">
        <v>0</v>
      </c>
      <c r="J1120">
        <v>0</v>
      </c>
      <c r="K1120">
        <v>0</v>
      </c>
      <c r="L1120">
        <v>200</v>
      </c>
      <c r="M1120">
        <v>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84</v>
      </c>
      <c r="W1120">
        <v>588</v>
      </c>
      <c r="X1120">
        <v>0</v>
      </c>
      <c r="Z1120">
        <v>0</v>
      </c>
      <c r="AA1120">
        <v>0</v>
      </c>
      <c r="AB1120">
        <v>0</v>
      </c>
      <c r="AC1120">
        <v>0</v>
      </c>
      <c r="AD1120" t="s">
        <v>2306</v>
      </c>
    </row>
    <row r="1121" spans="1:30" x14ac:dyDescent="0.25">
      <c r="H1121" t="s">
        <v>2309</v>
      </c>
    </row>
    <row r="1122" spans="1:30" x14ac:dyDescent="0.25">
      <c r="A1122">
        <v>558</v>
      </c>
      <c r="B1122">
        <v>613</v>
      </c>
      <c r="C1122" t="s">
        <v>2310</v>
      </c>
      <c r="D1122" t="s">
        <v>562</v>
      </c>
      <c r="E1122" t="s">
        <v>583</v>
      </c>
      <c r="F1122" t="s">
        <v>2311</v>
      </c>
      <c r="G1122" t="str">
        <f>"00299734"</f>
        <v>00299734</v>
      </c>
      <c r="H1122" t="s">
        <v>766</v>
      </c>
      <c r="I1122">
        <v>0</v>
      </c>
      <c r="J1122">
        <v>0</v>
      </c>
      <c r="K1122">
        <v>0</v>
      </c>
      <c r="L1122">
        <v>200</v>
      </c>
      <c r="M1122">
        <v>0</v>
      </c>
      <c r="N1122">
        <v>70</v>
      </c>
      <c r="O1122">
        <v>0</v>
      </c>
      <c r="P1122">
        <v>0</v>
      </c>
      <c r="Q1122">
        <v>0</v>
      </c>
      <c r="R1122">
        <v>50</v>
      </c>
      <c r="S1122">
        <v>0</v>
      </c>
      <c r="T1122">
        <v>0</v>
      </c>
      <c r="U1122">
        <v>0</v>
      </c>
      <c r="V1122">
        <v>84</v>
      </c>
      <c r="W1122">
        <v>588</v>
      </c>
      <c r="X1122">
        <v>0</v>
      </c>
      <c r="Z1122">
        <v>0</v>
      </c>
      <c r="AA1122">
        <v>0</v>
      </c>
      <c r="AB1122">
        <v>0</v>
      </c>
      <c r="AC1122">
        <v>0</v>
      </c>
      <c r="AD1122" t="s">
        <v>2312</v>
      </c>
    </row>
    <row r="1123" spans="1:30" x14ac:dyDescent="0.25">
      <c r="H1123" t="s">
        <v>2313</v>
      </c>
    </row>
    <row r="1124" spans="1:30" x14ac:dyDescent="0.25">
      <c r="A1124">
        <v>559</v>
      </c>
      <c r="B1124">
        <v>3946</v>
      </c>
      <c r="C1124" t="s">
        <v>1153</v>
      </c>
      <c r="D1124" t="s">
        <v>148</v>
      </c>
      <c r="E1124" t="s">
        <v>59</v>
      </c>
      <c r="F1124" t="s">
        <v>2314</v>
      </c>
      <c r="G1124" t="str">
        <f>"00344879"</f>
        <v>00344879</v>
      </c>
      <c r="H1124" t="s">
        <v>737</v>
      </c>
      <c r="I1124">
        <v>0</v>
      </c>
      <c r="J1124">
        <v>0</v>
      </c>
      <c r="K1124">
        <v>0</v>
      </c>
      <c r="L1124">
        <v>200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84</v>
      </c>
      <c r="W1124">
        <v>588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2315</v>
      </c>
    </row>
    <row r="1125" spans="1:30" x14ac:dyDescent="0.25">
      <c r="H1125" t="s">
        <v>2316</v>
      </c>
    </row>
    <row r="1126" spans="1:30" x14ac:dyDescent="0.25">
      <c r="A1126">
        <v>560</v>
      </c>
      <c r="B1126">
        <v>5019</v>
      </c>
      <c r="C1126" t="s">
        <v>1128</v>
      </c>
      <c r="D1126" t="s">
        <v>2317</v>
      </c>
      <c r="E1126" t="s">
        <v>42</v>
      </c>
      <c r="F1126" t="s">
        <v>2318</v>
      </c>
      <c r="G1126" t="str">
        <f>"201412001181"</f>
        <v>201412001181</v>
      </c>
      <c r="H1126" t="s">
        <v>1628</v>
      </c>
      <c r="I1126">
        <v>0</v>
      </c>
      <c r="J1126">
        <v>0</v>
      </c>
      <c r="K1126">
        <v>0</v>
      </c>
      <c r="L1126">
        <v>200</v>
      </c>
      <c r="M1126">
        <v>0</v>
      </c>
      <c r="N1126">
        <v>0</v>
      </c>
      <c r="O1126">
        <v>0</v>
      </c>
      <c r="P1126">
        <v>0</v>
      </c>
      <c r="Q1126">
        <v>70</v>
      </c>
      <c r="R1126">
        <v>0</v>
      </c>
      <c r="S1126">
        <v>0</v>
      </c>
      <c r="T1126">
        <v>0</v>
      </c>
      <c r="U1126">
        <v>0</v>
      </c>
      <c r="V1126">
        <v>84</v>
      </c>
      <c r="W1126">
        <v>588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2319</v>
      </c>
    </row>
    <row r="1127" spans="1:30" x14ac:dyDescent="0.25">
      <c r="H1127" t="s">
        <v>2320</v>
      </c>
    </row>
    <row r="1128" spans="1:30" x14ac:dyDescent="0.25">
      <c r="A1128">
        <v>561</v>
      </c>
      <c r="B1128">
        <v>4943</v>
      </c>
      <c r="C1128" t="s">
        <v>2321</v>
      </c>
      <c r="D1128" t="s">
        <v>28</v>
      </c>
      <c r="E1128" t="s">
        <v>59</v>
      </c>
      <c r="F1128" t="s">
        <v>2322</v>
      </c>
      <c r="G1128" t="str">
        <f>"00362814"</f>
        <v>00362814</v>
      </c>
      <c r="H1128" t="s">
        <v>1094</v>
      </c>
      <c r="I1128">
        <v>0</v>
      </c>
      <c r="J1128">
        <v>0</v>
      </c>
      <c r="K1128">
        <v>0</v>
      </c>
      <c r="L1128">
        <v>200</v>
      </c>
      <c r="M1128">
        <v>0</v>
      </c>
      <c r="N1128">
        <v>70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82</v>
      </c>
      <c r="W1128">
        <v>574</v>
      </c>
      <c r="X1128">
        <v>0</v>
      </c>
      <c r="Z1128">
        <v>0</v>
      </c>
      <c r="AA1128">
        <v>0</v>
      </c>
      <c r="AB1128">
        <v>2</v>
      </c>
      <c r="AC1128">
        <v>34</v>
      </c>
      <c r="AD1128" t="s">
        <v>2323</v>
      </c>
    </row>
    <row r="1129" spans="1:30" x14ac:dyDescent="0.25">
      <c r="H1129">
        <v>1086</v>
      </c>
    </row>
    <row r="1130" spans="1:30" x14ac:dyDescent="0.25">
      <c r="A1130">
        <v>562</v>
      </c>
      <c r="B1130">
        <v>3776</v>
      </c>
      <c r="C1130" t="s">
        <v>2324</v>
      </c>
      <c r="D1130" t="s">
        <v>135</v>
      </c>
      <c r="E1130" t="s">
        <v>317</v>
      </c>
      <c r="F1130" t="s">
        <v>2325</v>
      </c>
      <c r="G1130" t="str">
        <f>"201601000194"</f>
        <v>201601000194</v>
      </c>
      <c r="H1130">
        <v>737</v>
      </c>
      <c r="I1130">
        <v>0</v>
      </c>
      <c r="J1130">
        <v>0</v>
      </c>
      <c r="K1130">
        <v>0</v>
      </c>
      <c r="L1130">
        <v>200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84</v>
      </c>
      <c r="W1130">
        <v>588</v>
      </c>
      <c r="X1130">
        <v>0</v>
      </c>
      <c r="Z1130">
        <v>0</v>
      </c>
      <c r="AA1130">
        <v>0</v>
      </c>
      <c r="AB1130">
        <v>0</v>
      </c>
      <c r="AC1130">
        <v>0</v>
      </c>
      <c r="AD1130">
        <v>1555</v>
      </c>
    </row>
    <row r="1131" spans="1:30" x14ac:dyDescent="0.25">
      <c r="H1131" t="s">
        <v>2326</v>
      </c>
    </row>
    <row r="1132" spans="1:30" x14ac:dyDescent="0.25">
      <c r="A1132">
        <v>563</v>
      </c>
      <c r="B1132">
        <v>1072</v>
      </c>
      <c r="C1132" t="s">
        <v>839</v>
      </c>
      <c r="D1132" t="s">
        <v>423</v>
      </c>
      <c r="E1132" t="s">
        <v>840</v>
      </c>
      <c r="F1132" t="s">
        <v>841</v>
      </c>
      <c r="G1132" t="str">
        <f>"200712005763"</f>
        <v>200712005763</v>
      </c>
      <c r="H1132" t="s">
        <v>842</v>
      </c>
      <c r="I1132">
        <v>150</v>
      </c>
      <c r="J1132">
        <v>0</v>
      </c>
      <c r="K1132">
        <v>0</v>
      </c>
      <c r="L1132">
        <v>0</v>
      </c>
      <c r="M1132">
        <v>100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84</v>
      </c>
      <c r="W1132">
        <v>588</v>
      </c>
      <c r="X1132">
        <v>0</v>
      </c>
      <c r="Z1132">
        <v>0</v>
      </c>
      <c r="AA1132">
        <v>0</v>
      </c>
      <c r="AB1132">
        <v>0</v>
      </c>
      <c r="AC1132">
        <v>0</v>
      </c>
      <c r="AD1132" t="s">
        <v>2327</v>
      </c>
    </row>
    <row r="1133" spans="1:30" x14ac:dyDescent="0.25">
      <c r="H1133" t="s">
        <v>844</v>
      </c>
    </row>
    <row r="1134" spans="1:30" x14ac:dyDescent="0.25">
      <c r="A1134">
        <v>564</v>
      </c>
      <c r="B1134">
        <v>1187</v>
      </c>
      <c r="C1134" t="s">
        <v>2328</v>
      </c>
      <c r="D1134" t="s">
        <v>59</v>
      </c>
      <c r="E1134" t="s">
        <v>135</v>
      </c>
      <c r="F1134" t="s">
        <v>2329</v>
      </c>
      <c r="G1134" t="str">
        <f>"201504005001"</f>
        <v>201504005001</v>
      </c>
      <c r="H1134" t="s">
        <v>2330</v>
      </c>
      <c r="I1134">
        <v>0</v>
      </c>
      <c r="J1134">
        <v>0</v>
      </c>
      <c r="K1134">
        <v>0</v>
      </c>
      <c r="L1134">
        <v>200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84</v>
      </c>
      <c r="W1134">
        <v>588</v>
      </c>
      <c r="X1134">
        <v>0</v>
      </c>
      <c r="Z1134">
        <v>0</v>
      </c>
      <c r="AA1134">
        <v>0</v>
      </c>
      <c r="AB1134">
        <v>0</v>
      </c>
      <c r="AC1134">
        <v>0</v>
      </c>
      <c r="AD1134" t="s">
        <v>2331</v>
      </c>
    </row>
    <row r="1135" spans="1:30" x14ac:dyDescent="0.25">
      <c r="H1135" t="s">
        <v>2332</v>
      </c>
    </row>
    <row r="1136" spans="1:30" x14ac:dyDescent="0.25">
      <c r="A1136">
        <v>565</v>
      </c>
      <c r="B1136">
        <v>4019</v>
      </c>
      <c r="C1136" t="s">
        <v>2333</v>
      </c>
      <c r="D1136" t="s">
        <v>2334</v>
      </c>
      <c r="E1136" t="s">
        <v>148</v>
      </c>
      <c r="F1136" t="s">
        <v>2335</v>
      </c>
      <c r="G1136" t="str">
        <f>"00156418"</f>
        <v>00156418</v>
      </c>
      <c r="H1136" t="s">
        <v>1059</v>
      </c>
      <c r="I1136">
        <v>0</v>
      </c>
      <c r="J1136">
        <v>0</v>
      </c>
      <c r="K1136">
        <v>0</v>
      </c>
      <c r="L1136">
        <v>0</v>
      </c>
      <c r="M1136">
        <v>100</v>
      </c>
      <c r="N1136">
        <v>70</v>
      </c>
      <c r="O1136">
        <v>0</v>
      </c>
      <c r="P1136">
        <v>50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84</v>
      </c>
      <c r="W1136">
        <v>588</v>
      </c>
      <c r="X1136">
        <v>0</v>
      </c>
      <c r="Z1136">
        <v>0</v>
      </c>
      <c r="AA1136">
        <v>0</v>
      </c>
      <c r="AB1136">
        <v>0</v>
      </c>
      <c r="AC1136">
        <v>0</v>
      </c>
      <c r="AD1136" t="s">
        <v>2336</v>
      </c>
    </row>
    <row r="1137" spans="1:30" x14ac:dyDescent="0.25">
      <c r="H1137" t="s">
        <v>2337</v>
      </c>
    </row>
    <row r="1138" spans="1:30" x14ac:dyDescent="0.25">
      <c r="A1138">
        <v>566</v>
      </c>
      <c r="B1138">
        <v>2735</v>
      </c>
      <c r="C1138" t="s">
        <v>2338</v>
      </c>
      <c r="D1138" t="s">
        <v>147</v>
      </c>
      <c r="E1138" t="s">
        <v>225</v>
      </c>
      <c r="F1138" t="s">
        <v>2339</v>
      </c>
      <c r="G1138" t="str">
        <f>"00020640"</f>
        <v>00020640</v>
      </c>
      <c r="H1138" t="s">
        <v>936</v>
      </c>
      <c r="I1138">
        <v>0</v>
      </c>
      <c r="J1138">
        <v>0</v>
      </c>
      <c r="K1138">
        <v>0</v>
      </c>
      <c r="L1138">
        <v>0</v>
      </c>
      <c r="M1138">
        <v>100</v>
      </c>
      <c r="N1138">
        <v>70</v>
      </c>
      <c r="O1138">
        <v>0</v>
      </c>
      <c r="P1138">
        <v>0</v>
      </c>
      <c r="Q1138">
        <v>0</v>
      </c>
      <c r="R1138">
        <v>30</v>
      </c>
      <c r="S1138">
        <v>0</v>
      </c>
      <c r="T1138">
        <v>0</v>
      </c>
      <c r="U1138">
        <v>0</v>
      </c>
      <c r="V1138">
        <v>84</v>
      </c>
      <c r="W1138">
        <v>588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2340</v>
      </c>
    </row>
    <row r="1139" spans="1:30" x14ac:dyDescent="0.25">
      <c r="H1139" t="s">
        <v>2341</v>
      </c>
    </row>
    <row r="1140" spans="1:30" x14ac:dyDescent="0.25">
      <c r="A1140">
        <v>567</v>
      </c>
      <c r="B1140">
        <v>2932</v>
      </c>
      <c r="C1140" t="s">
        <v>1128</v>
      </c>
      <c r="D1140" t="s">
        <v>34</v>
      </c>
      <c r="E1140" t="s">
        <v>203</v>
      </c>
      <c r="F1140" t="s">
        <v>2342</v>
      </c>
      <c r="G1140" t="str">
        <f>"201504003125"</f>
        <v>201504003125</v>
      </c>
      <c r="H1140" t="s">
        <v>255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70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60</v>
      </c>
      <c r="W1140">
        <v>420</v>
      </c>
      <c r="X1140">
        <v>0</v>
      </c>
      <c r="Z1140">
        <v>0</v>
      </c>
      <c r="AA1140">
        <v>0</v>
      </c>
      <c r="AB1140">
        <v>24</v>
      </c>
      <c r="AC1140">
        <v>408</v>
      </c>
      <c r="AD1140" t="s">
        <v>2340</v>
      </c>
    </row>
    <row r="1141" spans="1:30" x14ac:dyDescent="0.25">
      <c r="H1141" t="s">
        <v>2343</v>
      </c>
    </row>
    <row r="1142" spans="1:30" x14ac:dyDescent="0.25">
      <c r="A1142">
        <v>568</v>
      </c>
      <c r="B1142">
        <v>4655</v>
      </c>
      <c r="C1142" t="s">
        <v>2344</v>
      </c>
      <c r="D1142" t="s">
        <v>158</v>
      </c>
      <c r="E1142" t="s">
        <v>272</v>
      </c>
      <c r="F1142" t="s">
        <v>2345</v>
      </c>
      <c r="G1142" t="str">
        <f>"00214278"</f>
        <v>00214278</v>
      </c>
      <c r="H1142" t="s">
        <v>946</v>
      </c>
      <c r="I1142">
        <v>0</v>
      </c>
      <c r="J1142">
        <v>0</v>
      </c>
      <c r="K1142">
        <v>0</v>
      </c>
      <c r="L1142">
        <v>200</v>
      </c>
      <c r="M1142">
        <v>0</v>
      </c>
      <c r="N1142">
        <v>70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84</v>
      </c>
      <c r="W1142">
        <v>588</v>
      </c>
      <c r="X1142">
        <v>0</v>
      </c>
      <c r="Z1142">
        <v>0</v>
      </c>
      <c r="AA1142">
        <v>0</v>
      </c>
      <c r="AB1142">
        <v>0</v>
      </c>
      <c r="AC1142">
        <v>0</v>
      </c>
      <c r="AD1142" t="s">
        <v>2346</v>
      </c>
    </row>
    <row r="1143" spans="1:30" x14ac:dyDescent="0.25">
      <c r="H1143" t="s">
        <v>2347</v>
      </c>
    </row>
    <row r="1144" spans="1:30" x14ac:dyDescent="0.25">
      <c r="A1144">
        <v>569</v>
      </c>
      <c r="B1144">
        <v>5319</v>
      </c>
      <c r="C1144" t="s">
        <v>1473</v>
      </c>
      <c r="D1144" t="s">
        <v>1474</v>
      </c>
      <c r="E1144" t="s">
        <v>77</v>
      </c>
      <c r="F1144" t="s">
        <v>1475</v>
      </c>
      <c r="G1144" t="str">
        <f>"200803000067"</f>
        <v>200803000067</v>
      </c>
      <c r="H1144">
        <v>814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72</v>
      </c>
      <c r="W1144">
        <v>504</v>
      </c>
      <c r="X1144">
        <v>0</v>
      </c>
      <c r="Z1144">
        <v>0</v>
      </c>
      <c r="AA1144">
        <v>0</v>
      </c>
      <c r="AB1144">
        <v>12</v>
      </c>
      <c r="AC1144">
        <v>204</v>
      </c>
      <c r="AD1144">
        <v>1552</v>
      </c>
    </row>
    <row r="1145" spans="1:30" x14ac:dyDescent="0.25">
      <c r="H1145" t="s">
        <v>1476</v>
      </c>
    </row>
    <row r="1146" spans="1:30" x14ac:dyDescent="0.25">
      <c r="A1146">
        <v>570</v>
      </c>
      <c r="B1146">
        <v>1881</v>
      </c>
      <c r="C1146" t="s">
        <v>848</v>
      </c>
      <c r="D1146" t="s">
        <v>142</v>
      </c>
      <c r="E1146" t="s">
        <v>59</v>
      </c>
      <c r="F1146" t="s">
        <v>849</v>
      </c>
      <c r="G1146" t="str">
        <f>"201406013011"</f>
        <v>201406013011</v>
      </c>
      <c r="H1146" t="s">
        <v>850</v>
      </c>
      <c r="I1146">
        <v>0</v>
      </c>
      <c r="J1146">
        <v>0</v>
      </c>
      <c r="K1146">
        <v>0</v>
      </c>
      <c r="L1146">
        <v>200</v>
      </c>
      <c r="M1146">
        <v>0</v>
      </c>
      <c r="N1146">
        <v>30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84</v>
      </c>
      <c r="W1146">
        <v>588</v>
      </c>
      <c r="X1146">
        <v>0</v>
      </c>
      <c r="Z1146">
        <v>0</v>
      </c>
      <c r="AA1146">
        <v>0</v>
      </c>
      <c r="AB1146">
        <v>0</v>
      </c>
      <c r="AC1146">
        <v>0</v>
      </c>
      <c r="AD1146" t="s">
        <v>2348</v>
      </c>
    </row>
    <row r="1147" spans="1:30" x14ac:dyDescent="0.25">
      <c r="H1147" t="s">
        <v>63</v>
      </c>
    </row>
    <row r="1148" spans="1:30" x14ac:dyDescent="0.25">
      <c r="A1148">
        <v>571</v>
      </c>
      <c r="B1148">
        <v>460</v>
      </c>
      <c r="C1148" t="s">
        <v>2349</v>
      </c>
      <c r="D1148" t="s">
        <v>2350</v>
      </c>
      <c r="E1148" t="s">
        <v>15</v>
      </c>
      <c r="F1148" t="s">
        <v>2351</v>
      </c>
      <c r="G1148" t="str">
        <f>"00295368"</f>
        <v>00295368</v>
      </c>
      <c r="H1148" t="s">
        <v>752</v>
      </c>
      <c r="I1148">
        <v>0</v>
      </c>
      <c r="J1148">
        <v>0</v>
      </c>
      <c r="K1148">
        <v>0</v>
      </c>
      <c r="L1148">
        <v>0</v>
      </c>
      <c r="M1148">
        <v>100</v>
      </c>
      <c r="N1148">
        <v>50</v>
      </c>
      <c r="O1148">
        <v>30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X1148">
        <v>0</v>
      </c>
      <c r="Z1148">
        <v>0</v>
      </c>
      <c r="AA1148">
        <v>0</v>
      </c>
      <c r="AB1148">
        <v>0</v>
      </c>
      <c r="AC1148">
        <v>0</v>
      </c>
      <c r="AD1148" t="s">
        <v>2352</v>
      </c>
    </row>
    <row r="1149" spans="1:30" x14ac:dyDescent="0.25">
      <c r="H1149">
        <v>1086</v>
      </c>
    </row>
    <row r="1150" spans="1:30" x14ac:dyDescent="0.25">
      <c r="A1150">
        <v>572</v>
      </c>
      <c r="B1150">
        <v>1542</v>
      </c>
      <c r="C1150" t="s">
        <v>1048</v>
      </c>
      <c r="D1150" t="s">
        <v>300</v>
      </c>
      <c r="E1150" t="s">
        <v>225</v>
      </c>
      <c r="F1150" t="s">
        <v>2353</v>
      </c>
      <c r="G1150" t="str">
        <f>"201601000043"</f>
        <v>201601000043</v>
      </c>
      <c r="H1150">
        <v>792</v>
      </c>
      <c r="I1150">
        <v>0</v>
      </c>
      <c r="J1150">
        <v>0</v>
      </c>
      <c r="K1150">
        <v>0</v>
      </c>
      <c r="L1150">
        <v>0</v>
      </c>
      <c r="M1150">
        <v>100</v>
      </c>
      <c r="N1150">
        <v>70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84</v>
      </c>
      <c r="W1150">
        <v>588</v>
      </c>
      <c r="X1150">
        <v>0</v>
      </c>
      <c r="Z1150">
        <v>0</v>
      </c>
      <c r="AA1150">
        <v>0</v>
      </c>
      <c r="AB1150">
        <v>0</v>
      </c>
      <c r="AC1150">
        <v>0</v>
      </c>
      <c r="AD1150">
        <v>1550</v>
      </c>
    </row>
    <row r="1151" spans="1:30" x14ac:dyDescent="0.25">
      <c r="H1151" t="s">
        <v>2354</v>
      </c>
    </row>
    <row r="1152" spans="1:30" x14ac:dyDescent="0.25">
      <c r="A1152">
        <v>573</v>
      </c>
      <c r="B1152">
        <v>1729</v>
      </c>
      <c r="C1152" t="s">
        <v>2355</v>
      </c>
      <c r="D1152" t="s">
        <v>135</v>
      </c>
      <c r="E1152" t="s">
        <v>66</v>
      </c>
      <c r="F1152" t="s">
        <v>2356</v>
      </c>
      <c r="G1152" t="str">
        <f>"00324291"</f>
        <v>00324291</v>
      </c>
      <c r="H1152" t="s">
        <v>822</v>
      </c>
      <c r="I1152">
        <v>0</v>
      </c>
      <c r="J1152">
        <v>0</v>
      </c>
      <c r="K1152">
        <v>0</v>
      </c>
      <c r="L1152">
        <v>200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84</v>
      </c>
      <c r="W1152">
        <v>588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2357</v>
      </c>
    </row>
    <row r="1153" spans="1:30" x14ac:dyDescent="0.25">
      <c r="H1153">
        <v>1087</v>
      </c>
    </row>
    <row r="1154" spans="1:30" x14ac:dyDescent="0.25">
      <c r="A1154">
        <v>574</v>
      </c>
      <c r="B1154">
        <v>4128</v>
      </c>
      <c r="C1154" t="s">
        <v>2358</v>
      </c>
      <c r="D1154" t="s">
        <v>389</v>
      </c>
      <c r="E1154" t="s">
        <v>42</v>
      </c>
      <c r="F1154" t="s">
        <v>2359</v>
      </c>
      <c r="G1154" t="str">
        <f>"00337038"</f>
        <v>00337038</v>
      </c>
      <c r="H1154" t="s">
        <v>1628</v>
      </c>
      <c r="I1154">
        <v>0</v>
      </c>
      <c r="J1154">
        <v>0</v>
      </c>
      <c r="K1154">
        <v>0</v>
      </c>
      <c r="L1154">
        <v>260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84</v>
      </c>
      <c r="W1154">
        <v>588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2360</v>
      </c>
    </row>
    <row r="1155" spans="1:30" x14ac:dyDescent="0.25">
      <c r="H1155" t="s">
        <v>2361</v>
      </c>
    </row>
    <row r="1156" spans="1:30" x14ac:dyDescent="0.25">
      <c r="A1156">
        <v>575</v>
      </c>
      <c r="B1156">
        <v>5082</v>
      </c>
      <c r="C1156" t="s">
        <v>2362</v>
      </c>
      <c r="D1156" t="s">
        <v>28</v>
      </c>
      <c r="E1156" t="s">
        <v>2363</v>
      </c>
      <c r="F1156" t="s">
        <v>2364</v>
      </c>
      <c r="G1156" t="str">
        <f>"200801001524"</f>
        <v>200801001524</v>
      </c>
      <c r="H1156" t="s">
        <v>916</v>
      </c>
      <c r="I1156">
        <v>0</v>
      </c>
      <c r="J1156">
        <v>0</v>
      </c>
      <c r="K1156">
        <v>0</v>
      </c>
      <c r="L1156">
        <v>200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84</v>
      </c>
      <c r="W1156">
        <v>588</v>
      </c>
      <c r="X1156">
        <v>0</v>
      </c>
      <c r="Z1156">
        <v>0</v>
      </c>
      <c r="AA1156">
        <v>0</v>
      </c>
      <c r="AB1156">
        <v>0</v>
      </c>
      <c r="AC1156">
        <v>0</v>
      </c>
      <c r="AD1156" t="s">
        <v>2365</v>
      </c>
    </row>
    <row r="1157" spans="1:30" x14ac:dyDescent="0.25">
      <c r="H1157" t="s">
        <v>2366</v>
      </c>
    </row>
    <row r="1158" spans="1:30" x14ac:dyDescent="0.25">
      <c r="A1158">
        <v>576</v>
      </c>
      <c r="B1158">
        <v>2748</v>
      </c>
      <c r="C1158" t="s">
        <v>2367</v>
      </c>
      <c r="D1158" t="s">
        <v>2368</v>
      </c>
      <c r="E1158" t="s">
        <v>28</v>
      </c>
      <c r="F1158" t="s">
        <v>2369</v>
      </c>
      <c r="G1158" t="str">
        <f>"00173480"</f>
        <v>00173480</v>
      </c>
      <c r="H1158">
        <v>737</v>
      </c>
      <c r="I1158">
        <v>0</v>
      </c>
      <c r="J1158">
        <v>0</v>
      </c>
      <c r="K1158">
        <v>0</v>
      </c>
      <c r="L1158">
        <v>0</v>
      </c>
      <c r="M1158">
        <v>100</v>
      </c>
      <c r="N1158">
        <v>70</v>
      </c>
      <c r="O1158">
        <v>50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84</v>
      </c>
      <c r="W1158">
        <v>588</v>
      </c>
      <c r="X1158">
        <v>0</v>
      </c>
      <c r="Z1158">
        <v>0</v>
      </c>
      <c r="AA1158">
        <v>0</v>
      </c>
      <c r="AB1158">
        <v>0</v>
      </c>
      <c r="AC1158">
        <v>0</v>
      </c>
      <c r="AD1158">
        <v>1545</v>
      </c>
    </row>
    <row r="1159" spans="1:30" x14ac:dyDescent="0.25">
      <c r="H1159" t="s">
        <v>2370</v>
      </c>
    </row>
    <row r="1160" spans="1:30" x14ac:dyDescent="0.25">
      <c r="A1160">
        <v>577</v>
      </c>
      <c r="B1160">
        <v>1539</v>
      </c>
      <c r="C1160" t="s">
        <v>2371</v>
      </c>
      <c r="D1160" t="s">
        <v>35</v>
      </c>
      <c r="E1160" t="s">
        <v>59</v>
      </c>
      <c r="F1160" t="s">
        <v>2372</v>
      </c>
      <c r="G1160" t="str">
        <f>"201402011151"</f>
        <v>201402011151</v>
      </c>
      <c r="H1160" t="s">
        <v>2373</v>
      </c>
      <c r="I1160">
        <v>0</v>
      </c>
      <c r="J1160">
        <v>0</v>
      </c>
      <c r="K1160">
        <v>0</v>
      </c>
      <c r="L1160">
        <v>200</v>
      </c>
      <c r="M1160">
        <v>0</v>
      </c>
      <c r="N1160">
        <v>70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84</v>
      </c>
      <c r="W1160">
        <v>588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2374</v>
      </c>
    </row>
    <row r="1161" spans="1:30" x14ac:dyDescent="0.25">
      <c r="H1161" t="s">
        <v>2375</v>
      </c>
    </row>
    <row r="1162" spans="1:30" x14ac:dyDescent="0.25">
      <c r="A1162">
        <v>578</v>
      </c>
      <c r="B1162">
        <v>683</v>
      </c>
      <c r="C1162" t="s">
        <v>2376</v>
      </c>
      <c r="D1162" t="s">
        <v>135</v>
      </c>
      <c r="E1162" t="s">
        <v>317</v>
      </c>
      <c r="F1162" t="s">
        <v>2377</v>
      </c>
      <c r="G1162" t="str">
        <f>"00303057"</f>
        <v>00303057</v>
      </c>
      <c r="H1162" t="s">
        <v>1146</v>
      </c>
      <c r="I1162">
        <v>0</v>
      </c>
      <c r="J1162">
        <v>0</v>
      </c>
      <c r="K1162">
        <v>0</v>
      </c>
      <c r="L1162">
        <v>200</v>
      </c>
      <c r="M1162">
        <v>0</v>
      </c>
      <c r="N1162">
        <v>30</v>
      </c>
      <c r="O1162">
        <v>0</v>
      </c>
      <c r="P1162">
        <v>30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84</v>
      </c>
      <c r="W1162">
        <v>588</v>
      </c>
      <c r="X1162">
        <v>0</v>
      </c>
      <c r="Z1162">
        <v>0</v>
      </c>
      <c r="AA1162">
        <v>0</v>
      </c>
      <c r="AB1162">
        <v>0</v>
      </c>
      <c r="AC1162">
        <v>0</v>
      </c>
      <c r="AD1162" t="s">
        <v>2378</v>
      </c>
    </row>
    <row r="1163" spans="1:30" x14ac:dyDescent="0.25">
      <c r="H1163" t="s">
        <v>2379</v>
      </c>
    </row>
    <row r="1164" spans="1:30" x14ac:dyDescent="0.25">
      <c r="A1164">
        <v>579</v>
      </c>
      <c r="B1164">
        <v>3872</v>
      </c>
      <c r="C1164" t="s">
        <v>2380</v>
      </c>
      <c r="D1164" t="s">
        <v>135</v>
      </c>
      <c r="E1164" t="s">
        <v>42</v>
      </c>
      <c r="F1164" t="s">
        <v>2381</v>
      </c>
      <c r="G1164" t="str">
        <f>"00369194"</f>
        <v>00369194</v>
      </c>
      <c r="H1164" t="s">
        <v>1742</v>
      </c>
      <c r="I1164">
        <v>0</v>
      </c>
      <c r="J1164">
        <v>0</v>
      </c>
      <c r="K1164">
        <v>0</v>
      </c>
      <c r="L1164">
        <v>200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84</v>
      </c>
      <c r="W1164">
        <v>588</v>
      </c>
      <c r="X1164">
        <v>0</v>
      </c>
      <c r="Z1164">
        <v>0</v>
      </c>
      <c r="AA1164">
        <v>0</v>
      </c>
      <c r="AB1164">
        <v>0</v>
      </c>
      <c r="AC1164">
        <v>0</v>
      </c>
      <c r="AD1164" t="s">
        <v>2382</v>
      </c>
    </row>
    <row r="1165" spans="1:30" x14ac:dyDescent="0.25">
      <c r="H1165" t="s">
        <v>2383</v>
      </c>
    </row>
    <row r="1166" spans="1:30" x14ac:dyDescent="0.25">
      <c r="A1166">
        <v>580</v>
      </c>
      <c r="B1166">
        <v>1823</v>
      </c>
      <c r="C1166" t="s">
        <v>2384</v>
      </c>
      <c r="D1166" t="s">
        <v>2385</v>
      </c>
      <c r="E1166" t="s">
        <v>119</v>
      </c>
      <c r="F1166" t="s">
        <v>2386</v>
      </c>
      <c r="G1166" t="str">
        <f>"201401001579"</f>
        <v>201401001579</v>
      </c>
      <c r="H1166" t="s">
        <v>2387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70</v>
      </c>
      <c r="V1166">
        <v>60</v>
      </c>
      <c r="W1166">
        <v>420</v>
      </c>
      <c r="X1166">
        <v>0</v>
      </c>
      <c r="Z1166">
        <v>0</v>
      </c>
      <c r="AA1166">
        <v>0</v>
      </c>
      <c r="AB1166">
        <v>24</v>
      </c>
      <c r="AC1166">
        <v>408</v>
      </c>
      <c r="AD1166" t="s">
        <v>2388</v>
      </c>
    </row>
    <row r="1167" spans="1:30" x14ac:dyDescent="0.25">
      <c r="H1167">
        <v>1070</v>
      </c>
    </row>
    <row r="1168" spans="1:30" x14ac:dyDescent="0.25">
      <c r="A1168">
        <v>581</v>
      </c>
      <c r="B1168">
        <v>1138</v>
      </c>
      <c r="C1168" t="s">
        <v>2389</v>
      </c>
      <c r="D1168" t="s">
        <v>373</v>
      </c>
      <c r="E1168" t="s">
        <v>408</v>
      </c>
      <c r="F1168" t="s">
        <v>2390</v>
      </c>
      <c r="G1168" t="str">
        <f>"00017666"</f>
        <v>00017666</v>
      </c>
      <c r="H1168" t="s">
        <v>1758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50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72</v>
      </c>
      <c r="W1168">
        <v>504</v>
      </c>
      <c r="X1168">
        <v>0</v>
      </c>
      <c r="Z1168">
        <v>0</v>
      </c>
      <c r="AA1168">
        <v>0</v>
      </c>
      <c r="AB1168">
        <v>12</v>
      </c>
      <c r="AC1168">
        <v>204</v>
      </c>
      <c r="AD1168" t="s">
        <v>2391</v>
      </c>
    </row>
    <row r="1169" spans="1:30" x14ac:dyDescent="0.25">
      <c r="H1169">
        <v>1070</v>
      </c>
    </row>
    <row r="1170" spans="1:30" x14ac:dyDescent="0.25">
      <c r="A1170">
        <v>582</v>
      </c>
      <c r="B1170">
        <v>1309</v>
      </c>
      <c r="C1170" t="s">
        <v>2392</v>
      </c>
      <c r="D1170" t="s">
        <v>389</v>
      </c>
      <c r="E1170" t="s">
        <v>28</v>
      </c>
      <c r="F1170" t="s">
        <v>2393</v>
      </c>
      <c r="G1170" t="str">
        <f>"00173659"</f>
        <v>00173659</v>
      </c>
      <c r="H1170" t="s">
        <v>144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70</v>
      </c>
      <c r="O1170">
        <v>0</v>
      </c>
      <c r="P1170">
        <v>70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84</v>
      </c>
      <c r="W1170">
        <v>588</v>
      </c>
      <c r="X1170">
        <v>0</v>
      </c>
      <c r="Z1170">
        <v>0</v>
      </c>
      <c r="AA1170">
        <v>0</v>
      </c>
      <c r="AB1170">
        <v>0</v>
      </c>
      <c r="AC1170">
        <v>0</v>
      </c>
      <c r="AD1170" t="s">
        <v>2394</v>
      </c>
    </row>
    <row r="1171" spans="1:30" x14ac:dyDescent="0.25">
      <c r="H1171">
        <v>1072</v>
      </c>
    </row>
    <row r="1172" spans="1:30" x14ac:dyDescent="0.25">
      <c r="A1172">
        <v>583</v>
      </c>
      <c r="B1172">
        <v>198</v>
      </c>
      <c r="C1172" t="s">
        <v>2395</v>
      </c>
      <c r="D1172" t="s">
        <v>2396</v>
      </c>
      <c r="E1172" t="s">
        <v>77</v>
      </c>
      <c r="F1172" t="s">
        <v>2397</v>
      </c>
      <c r="G1172" t="str">
        <f>"201412007124"</f>
        <v>201412007124</v>
      </c>
      <c r="H1172" t="s">
        <v>2176</v>
      </c>
      <c r="I1172">
        <v>0</v>
      </c>
      <c r="J1172">
        <v>0</v>
      </c>
      <c r="K1172">
        <v>0</v>
      </c>
      <c r="L1172">
        <v>200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84</v>
      </c>
      <c r="W1172">
        <v>588</v>
      </c>
      <c r="X1172">
        <v>0</v>
      </c>
      <c r="Z1172">
        <v>0</v>
      </c>
      <c r="AA1172">
        <v>0</v>
      </c>
      <c r="AB1172">
        <v>0</v>
      </c>
      <c r="AC1172">
        <v>0</v>
      </c>
      <c r="AD1172" t="s">
        <v>2398</v>
      </c>
    </row>
    <row r="1173" spans="1:30" x14ac:dyDescent="0.25">
      <c r="H1173" t="s">
        <v>2399</v>
      </c>
    </row>
    <row r="1174" spans="1:30" x14ac:dyDescent="0.25">
      <c r="A1174">
        <v>584</v>
      </c>
      <c r="B1174">
        <v>1406</v>
      </c>
      <c r="C1174" t="s">
        <v>2400</v>
      </c>
      <c r="D1174" t="s">
        <v>283</v>
      </c>
      <c r="E1174" t="s">
        <v>35</v>
      </c>
      <c r="F1174" t="s">
        <v>2401</v>
      </c>
      <c r="G1174" t="str">
        <f>"00305991"</f>
        <v>00305991</v>
      </c>
      <c r="H1174" t="s">
        <v>891</v>
      </c>
      <c r="I1174">
        <v>0</v>
      </c>
      <c r="J1174">
        <v>0</v>
      </c>
      <c r="K1174">
        <v>0</v>
      </c>
      <c r="L1174">
        <v>200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84</v>
      </c>
      <c r="W1174">
        <v>588</v>
      </c>
      <c r="X1174">
        <v>0</v>
      </c>
      <c r="Z1174">
        <v>0</v>
      </c>
      <c r="AA1174">
        <v>0</v>
      </c>
      <c r="AB1174">
        <v>0</v>
      </c>
      <c r="AC1174">
        <v>0</v>
      </c>
      <c r="AD1174" t="s">
        <v>2402</v>
      </c>
    </row>
    <row r="1175" spans="1:30" x14ac:dyDescent="0.25">
      <c r="H1175">
        <v>1086</v>
      </c>
    </row>
    <row r="1176" spans="1:30" x14ac:dyDescent="0.25">
      <c r="A1176">
        <v>585</v>
      </c>
      <c r="B1176">
        <v>1547</v>
      </c>
      <c r="C1176" t="s">
        <v>2403</v>
      </c>
      <c r="D1176" t="s">
        <v>294</v>
      </c>
      <c r="E1176" t="s">
        <v>42</v>
      </c>
      <c r="F1176" t="s">
        <v>2404</v>
      </c>
      <c r="G1176" t="str">
        <f>"00315799"</f>
        <v>00315799</v>
      </c>
      <c r="H1176">
        <v>715</v>
      </c>
      <c r="I1176">
        <v>0</v>
      </c>
      <c r="J1176">
        <v>0</v>
      </c>
      <c r="K1176">
        <v>0</v>
      </c>
      <c r="L1176">
        <v>200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84</v>
      </c>
      <c r="W1176">
        <v>588</v>
      </c>
      <c r="X1176">
        <v>0</v>
      </c>
      <c r="Z1176">
        <v>0</v>
      </c>
      <c r="AA1176">
        <v>0</v>
      </c>
      <c r="AB1176">
        <v>0</v>
      </c>
      <c r="AC1176">
        <v>0</v>
      </c>
      <c r="AD1176">
        <v>1533</v>
      </c>
    </row>
    <row r="1177" spans="1:30" x14ac:dyDescent="0.25">
      <c r="H1177">
        <v>1081</v>
      </c>
    </row>
    <row r="1178" spans="1:30" x14ac:dyDescent="0.25">
      <c r="A1178">
        <v>586</v>
      </c>
      <c r="B1178">
        <v>5290</v>
      </c>
      <c r="C1178" t="s">
        <v>2405</v>
      </c>
      <c r="D1178" t="s">
        <v>389</v>
      </c>
      <c r="E1178" t="s">
        <v>2406</v>
      </c>
      <c r="F1178" t="s">
        <v>2407</v>
      </c>
      <c r="G1178" t="str">
        <f>"00370951"</f>
        <v>00370951</v>
      </c>
      <c r="H1178" t="s">
        <v>1758</v>
      </c>
      <c r="I1178">
        <v>0</v>
      </c>
      <c r="J1178">
        <v>0</v>
      </c>
      <c r="K1178">
        <v>0</v>
      </c>
      <c r="L1178">
        <v>0</v>
      </c>
      <c r="M1178">
        <v>100</v>
      </c>
      <c r="N1178">
        <v>30</v>
      </c>
      <c r="O1178">
        <v>0</v>
      </c>
      <c r="P1178">
        <v>30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84</v>
      </c>
      <c r="W1178">
        <v>588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2408</v>
      </c>
    </row>
    <row r="1179" spans="1:30" x14ac:dyDescent="0.25">
      <c r="H1179" t="s">
        <v>2409</v>
      </c>
    </row>
    <row r="1180" spans="1:30" x14ac:dyDescent="0.25">
      <c r="A1180">
        <v>587</v>
      </c>
      <c r="B1180">
        <v>4160</v>
      </c>
      <c r="C1180" t="s">
        <v>2410</v>
      </c>
      <c r="D1180" t="s">
        <v>637</v>
      </c>
      <c r="E1180" t="s">
        <v>77</v>
      </c>
      <c r="F1180" t="s">
        <v>2411</v>
      </c>
      <c r="G1180" t="str">
        <f>"00336565"</f>
        <v>00336565</v>
      </c>
      <c r="H1180" t="s">
        <v>891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65</v>
      </c>
      <c r="W1180">
        <v>455</v>
      </c>
      <c r="X1180">
        <v>0</v>
      </c>
      <c r="Z1180">
        <v>0</v>
      </c>
      <c r="AA1180">
        <v>0</v>
      </c>
      <c r="AB1180">
        <v>19</v>
      </c>
      <c r="AC1180">
        <v>323</v>
      </c>
      <c r="AD1180" t="s">
        <v>2412</v>
      </c>
    </row>
    <row r="1181" spans="1:30" x14ac:dyDescent="0.25">
      <c r="H1181" t="s">
        <v>2413</v>
      </c>
    </row>
    <row r="1182" spans="1:30" x14ac:dyDescent="0.25">
      <c r="A1182">
        <v>588</v>
      </c>
      <c r="B1182">
        <v>2288</v>
      </c>
      <c r="C1182" t="s">
        <v>2414</v>
      </c>
      <c r="D1182" t="s">
        <v>59</v>
      </c>
      <c r="E1182" t="s">
        <v>108</v>
      </c>
      <c r="F1182" t="s">
        <v>2415</v>
      </c>
      <c r="G1182" t="str">
        <f>"200812000503"</f>
        <v>200812000503</v>
      </c>
      <c r="H1182" t="s">
        <v>2056</v>
      </c>
      <c r="I1182">
        <v>0</v>
      </c>
      <c r="J1182">
        <v>0</v>
      </c>
      <c r="K1182">
        <v>0</v>
      </c>
      <c r="L1182">
        <v>200</v>
      </c>
      <c r="M1182">
        <v>0</v>
      </c>
      <c r="N1182">
        <v>30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84</v>
      </c>
      <c r="W1182">
        <v>588</v>
      </c>
      <c r="X1182">
        <v>0</v>
      </c>
      <c r="Z1182">
        <v>0</v>
      </c>
      <c r="AA1182">
        <v>0</v>
      </c>
      <c r="AB1182">
        <v>0</v>
      </c>
      <c r="AC1182">
        <v>0</v>
      </c>
      <c r="AD1182" t="s">
        <v>2416</v>
      </c>
    </row>
    <row r="1183" spans="1:30" x14ac:dyDescent="0.25">
      <c r="H1183">
        <v>1072</v>
      </c>
    </row>
    <row r="1184" spans="1:30" x14ac:dyDescent="0.25">
      <c r="A1184">
        <v>589</v>
      </c>
      <c r="B1184">
        <v>4702</v>
      </c>
      <c r="C1184" t="s">
        <v>2417</v>
      </c>
      <c r="D1184" t="s">
        <v>213</v>
      </c>
      <c r="E1184" t="s">
        <v>135</v>
      </c>
      <c r="F1184" t="s">
        <v>2418</v>
      </c>
      <c r="G1184" t="str">
        <f>"200802002826"</f>
        <v>200802002826</v>
      </c>
      <c r="H1184" t="s">
        <v>2419</v>
      </c>
      <c r="I1184">
        <v>0</v>
      </c>
      <c r="J1184">
        <v>0</v>
      </c>
      <c r="K1184">
        <v>0</v>
      </c>
      <c r="L1184">
        <v>200</v>
      </c>
      <c r="M1184">
        <v>0</v>
      </c>
      <c r="N1184">
        <v>70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84</v>
      </c>
      <c r="W1184">
        <v>588</v>
      </c>
      <c r="X1184">
        <v>0</v>
      </c>
      <c r="Z1184">
        <v>0</v>
      </c>
      <c r="AA1184">
        <v>0</v>
      </c>
      <c r="AB1184">
        <v>0</v>
      </c>
      <c r="AC1184">
        <v>0</v>
      </c>
      <c r="AD1184" t="s">
        <v>2420</v>
      </c>
    </row>
    <row r="1185" spans="1:30" x14ac:dyDescent="0.25">
      <c r="H1185" t="s">
        <v>2421</v>
      </c>
    </row>
    <row r="1186" spans="1:30" x14ac:dyDescent="0.25">
      <c r="A1186">
        <v>590</v>
      </c>
      <c r="B1186">
        <v>4592</v>
      </c>
      <c r="C1186" t="s">
        <v>2422</v>
      </c>
      <c r="D1186" t="s">
        <v>2423</v>
      </c>
      <c r="E1186" t="s">
        <v>77</v>
      </c>
      <c r="F1186" t="s">
        <v>2424</v>
      </c>
      <c r="G1186" t="str">
        <f>"00363116"</f>
        <v>00363116</v>
      </c>
      <c r="H1186" t="s">
        <v>2425</v>
      </c>
      <c r="I1186">
        <v>0</v>
      </c>
      <c r="J1186">
        <v>0</v>
      </c>
      <c r="K1186">
        <v>0</v>
      </c>
      <c r="L1186">
        <v>200</v>
      </c>
      <c r="M1186">
        <v>0</v>
      </c>
      <c r="N1186">
        <v>70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84</v>
      </c>
      <c r="W1186">
        <v>588</v>
      </c>
      <c r="X1186">
        <v>6</v>
      </c>
      <c r="Y1186">
        <v>1084</v>
      </c>
      <c r="Z1186">
        <v>0</v>
      </c>
      <c r="AA1186">
        <v>0</v>
      </c>
      <c r="AB1186">
        <v>0</v>
      </c>
      <c r="AC1186">
        <v>0</v>
      </c>
      <c r="AD1186" t="s">
        <v>2426</v>
      </c>
    </row>
    <row r="1187" spans="1:30" x14ac:dyDescent="0.25">
      <c r="H1187">
        <v>1084</v>
      </c>
    </row>
    <row r="1188" spans="1:30" x14ac:dyDescent="0.25">
      <c r="A1188">
        <v>591</v>
      </c>
      <c r="B1188">
        <v>2119</v>
      </c>
      <c r="C1188" t="s">
        <v>919</v>
      </c>
      <c r="D1188" t="s">
        <v>2427</v>
      </c>
      <c r="E1188" t="s">
        <v>59</v>
      </c>
      <c r="F1188" t="s">
        <v>2428</v>
      </c>
      <c r="G1188" t="str">
        <f>"00328579"</f>
        <v>00328579</v>
      </c>
      <c r="H1188" t="s">
        <v>227</v>
      </c>
      <c r="I1188">
        <v>150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84</v>
      </c>
      <c r="W1188">
        <v>588</v>
      </c>
      <c r="X1188">
        <v>0</v>
      </c>
      <c r="Z1188">
        <v>0</v>
      </c>
      <c r="AA1188">
        <v>0</v>
      </c>
      <c r="AB1188">
        <v>0</v>
      </c>
      <c r="AC1188">
        <v>0</v>
      </c>
      <c r="AD1188" t="s">
        <v>2429</v>
      </c>
    </row>
    <row r="1189" spans="1:30" x14ac:dyDescent="0.25">
      <c r="H1189" t="s">
        <v>2430</v>
      </c>
    </row>
    <row r="1190" spans="1:30" x14ac:dyDescent="0.25">
      <c r="A1190">
        <v>592</v>
      </c>
      <c r="B1190">
        <v>1263</v>
      </c>
      <c r="C1190" t="s">
        <v>2431</v>
      </c>
      <c r="D1190" t="s">
        <v>702</v>
      </c>
      <c r="E1190" t="s">
        <v>77</v>
      </c>
      <c r="F1190" t="s">
        <v>2432</v>
      </c>
      <c r="G1190" t="str">
        <f>"200802011900"</f>
        <v>200802011900</v>
      </c>
      <c r="H1190" t="s">
        <v>761</v>
      </c>
      <c r="I1190">
        <v>150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84</v>
      </c>
      <c r="W1190">
        <v>588</v>
      </c>
      <c r="X1190">
        <v>0</v>
      </c>
      <c r="Z1190">
        <v>0</v>
      </c>
      <c r="AA1190">
        <v>0</v>
      </c>
      <c r="AB1190">
        <v>0</v>
      </c>
      <c r="AC1190">
        <v>0</v>
      </c>
      <c r="AD1190" t="s">
        <v>2433</v>
      </c>
    </row>
    <row r="1191" spans="1:30" x14ac:dyDescent="0.25">
      <c r="H1191">
        <v>1079</v>
      </c>
    </row>
    <row r="1192" spans="1:30" x14ac:dyDescent="0.25">
      <c r="A1192">
        <v>593</v>
      </c>
      <c r="B1192">
        <v>4890</v>
      </c>
      <c r="C1192" t="s">
        <v>2434</v>
      </c>
      <c r="D1192" t="s">
        <v>14</v>
      </c>
      <c r="E1192" t="s">
        <v>28</v>
      </c>
      <c r="F1192" t="s">
        <v>2435</v>
      </c>
      <c r="G1192" t="str">
        <f>"201412000271"</f>
        <v>201412000271</v>
      </c>
      <c r="H1192" t="s">
        <v>302</v>
      </c>
      <c r="I1192">
        <v>0</v>
      </c>
      <c r="J1192">
        <v>0</v>
      </c>
      <c r="K1192">
        <v>0</v>
      </c>
      <c r="L1192">
        <v>260</v>
      </c>
      <c r="M1192">
        <v>0</v>
      </c>
      <c r="N1192">
        <v>30</v>
      </c>
      <c r="O1192">
        <v>30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55</v>
      </c>
      <c r="W1192">
        <v>385</v>
      </c>
      <c r="X1192">
        <v>0</v>
      </c>
      <c r="Z1192">
        <v>0</v>
      </c>
      <c r="AA1192">
        <v>0</v>
      </c>
      <c r="AB1192">
        <v>0</v>
      </c>
      <c r="AC1192">
        <v>0</v>
      </c>
      <c r="AD1192" t="s">
        <v>2436</v>
      </c>
    </row>
    <row r="1193" spans="1:30" x14ac:dyDescent="0.25">
      <c r="H1193" t="s">
        <v>2437</v>
      </c>
    </row>
    <row r="1194" spans="1:30" x14ac:dyDescent="0.25">
      <c r="A1194">
        <v>594</v>
      </c>
      <c r="B1194">
        <v>2564</v>
      </c>
      <c r="C1194" t="s">
        <v>2438</v>
      </c>
      <c r="D1194" t="s">
        <v>164</v>
      </c>
      <c r="E1194" t="s">
        <v>300</v>
      </c>
      <c r="F1194" t="s">
        <v>2439</v>
      </c>
      <c r="G1194" t="str">
        <f>"00250029"</f>
        <v>00250029</v>
      </c>
      <c r="H1194" t="s">
        <v>1907</v>
      </c>
      <c r="I1194">
        <v>0</v>
      </c>
      <c r="J1194">
        <v>0</v>
      </c>
      <c r="K1194">
        <v>0</v>
      </c>
      <c r="L1194">
        <v>0</v>
      </c>
      <c r="M1194">
        <v>100</v>
      </c>
      <c r="N1194">
        <v>70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84</v>
      </c>
      <c r="W1194">
        <v>588</v>
      </c>
      <c r="X1194">
        <v>0</v>
      </c>
      <c r="Z1194">
        <v>0</v>
      </c>
      <c r="AA1194">
        <v>0</v>
      </c>
      <c r="AB1194">
        <v>0</v>
      </c>
      <c r="AC1194">
        <v>0</v>
      </c>
      <c r="AD1194" t="s">
        <v>2440</v>
      </c>
    </row>
    <row r="1195" spans="1:30" x14ac:dyDescent="0.25">
      <c r="H1195" t="s">
        <v>2441</v>
      </c>
    </row>
    <row r="1196" spans="1:30" x14ac:dyDescent="0.25">
      <c r="A1196">
        <v>595</v>
      </c>
      <c r="B1196">
        <v>3450</v>
      </c>
      <c r="C1196" t="s">
        <v>2442</v>
      </c>
      <c r="D1196" t="s">
        <v>702</v>
      </c>
      <c r="E1196" t="s">
        <v>174</v>
      </c>
      <c r="F1196" t="s">
        <v>2443</v>
      </c>
      <c r="G1196" t="str">
        <f>"00138377"</f>
        <v>00138377</v>
      </c>
      <c r="H1196" t="s">
        <v>289</v>
      </c>
      <c r="I1196">
        <v>0</v>
      </c>
      <c r="J1196">
        <v>0</v>
      </c>
      <c r="K1196">
        <v>0</v>
      </c>
      <c r="L1196">
        <v>200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76</v>
      </c>
      <c r="W1196">
        <v>532</v>
      </c>
      <c r="X1196">
        <v>0</v>
      </c>
      <c r="Z1196">
        <v>0</v>
      </c>
      <c r="AA1196">
        <v>0</v>
      </c>
      <c r="AB1196">
        <v>0</v>
      </c>
      <c r="AC1196">
        <v>0</v>
      </c>
      <c r="AD1196" t="s">
        <v>2444</v>
      </c>
    </row>
    <row r="1197" spans="1:30" x14ac:dyDescent="0.25">
      <c r="H1197" t="s">
        <v>2445</v>
      </c>
    </row>
    <row r="1198" spans="1:30" x14ac:dyDescent="0.25">
      <c r="A1198">
        <v>596</v>
      </c>
      <c r="B1198">
        <v>3024</v>
      </c>
      <c r="C1198" t="s">
        <v>2446</v>
      </c>
      <c r="D1198" t="s">
        <v>14</v>
      </c>
      <c r="E1198" t="s">
        <v>59</v>
      </c>
      <c r="F1198" t="s">
        <v>2447</v>
      </c>
      <c r="G1198" t="str">
        <f>"201401000608"</f>
        <v>201401000608</v>
      </c>
      <c r="H1198" t="s">
        <v>832</v>
      </c>
      <c r="I1198">
        <v>150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84</v>
      </c>
      <c r="W1198">
        <v>588</v>
      </c>
      <c r="X1198">
        <v>0</v>
      </c>
      <c r="Z1198">
        <v>0</v>
      </c>
      <c r="AA1198">
        <v>0</v>
      </c>
      <c r="AB1198">
        <v>0</v>
      </c>
      <c r="AC1198">
        <v>0</v>
      </c>
      <c r="AD1198" t="s">
        <v>2448</v>
      </c>
    </row>
    <row r="1199" spans="1:30" x14ac:dyDescent="0.25">
      <c r="H1199" t="s">
        <v>2449</v>
      </c>
    </row>
    <row r="1200" spans="1:30" x14ac:dyDescent="0.25">
      <c r="A1200">
        <v>597</v>
      </c>
      <c r="B1200">
        <v>4663</v>
      </c>
      <c r="C1200" t="s">
        <v>2450</v>
      </c>
      <c r="D1200" t="s">
        <v>294</v>
      </c>
      <c r="E1200" t="s">
        <v>135</v>
      </c>
      <c r="F1200" t="s">
        <v>2451</v>
      </c>
      <c r="G1200" t="str">
        <f>"200901000309"</f>
        <v>200901000309</v>
      </c>
      <c r="H1200" t="s">
        <v>1034</v>
      </c>
      <c r="I1200">
        <v>0</v>
      </c>
      <c r="J1200">
        <v>0</v>
      </c>
      <c r="K1200">
        <v>0</v>
      </c>
      <c r="L1200">
        <v>200</v>
      </c>
      <c r="M1200">
        <v>0</v>
      </c>
      <c r="N1200">
        <v>70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84</v>
      </c>
      <c r="W1200">
        <v>588</v>
      </c>
      <c r="X1200">
        <v>0</v>
      </c>
      <c r="Z1200">
        <v>0</v>
      </c>
      <c r="AA1200">
        <v>0</v>
      </c>
      <c r="AB1200">
        <v>0</v>
      </c>
      <c r="AC1200">
        <v>0</v>
      </c>
      <c r="AD1200" t="s">
        <v>2452</v>
      </c>
    </row>
    <row r="1201" spans="1:30" x14ac:dyDescent="0.25">
      <c r="H1201" t="s">
        <v>2453</v>
      </c>
    </row>
    <row r="1202" spans="1:30" x14ac:dyDescent="0.25">
      <c r="A1202">
        <v>598</v>
      </c>
      <c r="B1202">
        <v>665</v>
      </c>
      <c r="C1202" t="s">
        <v>2454</v>
      </c>
      <c r="D1202" t="s">
        <v>1101</v>
      </c>
      <c r="E1202" t="s">
        <v>42</v>
      </c>
      <c r="F1202" t="s">
        <v>2455</v>
      </c>
      <c r="G1202" t="str">
        <f>"00298958"</f>
        <v>00298958</v>
      </c>
      <c r="H1202" t="s">
        <v>1769</v>
      </c>
      <c r="I1202">
        <v>0</v>
      </c>
      <c r="J1202">
        <v>0</v>
      </c>
      <c r="K1202">
        <v>0</v>
      </c>
      <c r="L1202">
        <v>200</v>
      </c>
      <c r="M1202">
        <v>0</v>
      </c>
      <c r="N1202">
        <v>30</v>
      </c>
      <c r="O1202">
        <v>30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72</v>
      </c>
      <c r="W1202">
        <v>504</v>
      </c>
      <c r="X1202">
        <v>0</v>
      </c>
      <c r="Z1202">
        <v>0</v>
      </c>
      <c r="AA1202">
        <v>0</v>
      </c>
      <c r="AB1202">
        <v>0</v>
      </c>
      <c r="AC1202">
        <v>0</v>
      </c>
      <c r="AD1202" t="s">
        <v>2456</v>
      </c>
    </row>
    <row r="1203" spans="1:30" x14ac:dyDescent="0.25">
      <c r="H1203" t="s">
        <v>2457</v>
      </c>
    </row>
    <row r="1204" spans="1:30" x14ac:dyDescent="0.25">
      <c r="A1204">
        <v>599</v>
      </c>
      <c r="B1204">
        <v>3803</v>
      </c>
      <c r="C1204" t="s">
        <v>2458</v>
      </c>
      <c r="D1204" t="s">
        <v>327</v>
      </c>
      <c r="E1204" t="s">
        <v>59</v>
      </c>
      <c r="F1204" t="s">
        <v>2459</v>
      </c>
      <c r="G1204" t="str">
        <f>"201511041910"</f>
        <v>201511041910</v>
      </c>
      <c r="H1204" t="s">
        <v>1164</v>
      </c>
      <c r="I1204">
        <v>0</v>
      </c>
      <c r="J1204">
        <v>0</v>
      </c>
      <c r="K1204">
        <v>0</v>
      </c>
      <c r="L1204">
        <v>200</v>
      </c>
      <c r="M1204">
        <v>0</v>
      </c>
      <c r="N1204">
        <v>70</v>
      </c>
      <c r="O1204">
        <v>30</v>
      </c>
      <c r="P1204">
        <v>0</v>
      </c>
      <c r="Q1204">
        <v>0</v>
      </c>
      <c r="R1204">
        <v>30</v>
      </c>
      <c r="S1204">
        <v>0</v>
      </c>
      <c r="T1204">
        <v>0</v>
      </c>
      <c r="U1204">
        <v>0</v>
      </c>
      <c r="V1204">
        <v>56</v>
      </c>
      <c r="W1204">
        <v>392</v>
      </c>
      <c r="X1204">
        <v>0</v>
      </c>
      <c r="Z1204">
        <v>0</v>
      </c>
      <c r="AA1204">
        <v>0</v>
      </c>
      <c r="AB1204">
        <v>0</v>
      </c>
      <c r="AC1204">
        <v>0</v>
      </c>
      <c r="AD1204" t="s">
        <v>2460</v>
      </c>
    </row>
    <row r="1205" spans="1:30" x14ac:dyDescent="0.25">
      <c r="H1205" t="s">
        <v>2461</v>
      </c>
    </row>
    <row r="1206" spans="1:30" x14ac:dyDescent="0.25">
      <c r="A1206">
        <v>600</v>
      </c>
      <c r="B1206">
        <v>36</v>
      </c>
      <c r="C1206" t="s">
        <v>2462</v>
      </c>
      <c r="D1206" t="s">
        <v>1020</v>
      </c>
      <c r="E1206" t="s">
        <v>203</v>
      </c>
      <c r="F1206" t="s">
        <v>2463</v>
      </c>
      <c r="G1206" t="str">
        <f>"00251852"</f>
        <v>00251852</v>
      </c>
      <c r="H1206" t="s">
        <v>1398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50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84</v>
      </c>
      <c r="W1206">
        <v>588</v>
      </c>
      <c r="X1206">
        <v>6</v>
      </c>
      <c r="Y1206">
        <v>1084</v>
      </c>
      <c r="Z1206">
        <v>0</v>
      </c>
      <c r="AA1206">
        <v>0</v>
      </c>
      <c r="AB1206">
        <v>0</v>
      </c>
      <c r="AC1206">
        <v>0</v>
      </c>
      <c r="AD1206" t="s">
        <v>2464</v>
      </c>
    </row>
    <row r="1207" spans="1:30" x14ac:dyDescent="0.25">
      <c r="H1207">
        <v>1084</v>
      </c>
    </row>
    <row r="1208" spans="1:30" x14ac:dyDescent="0.25">
      <c r="A1208">
        <v>601</v>
      </c>
      <c r="B1208">
        <v>1573</v>
      </c>
      <c r="C1208" t="s">
        <v>2465</v>
      </c>
      <c r="D1208" t="s">
        <v>252</v>
      </c>
      <c r="E1208" t="s">
        <v>42</v>
      </c>
      <c r="F1208" t="s">
        <v>2466</v>
      </c>
      <c r="G1208" t="str">
        <f>"00187141"</f>
        <v>00187141</v>
      </c>
      <c r="H1208" t="s">
        <v>1370</v>
      </c>
      <c r="I1208">
        <v>0</v>
      </c>
      <c r="J1208">
        <v>0</v>
      </c>
      <c r="K1208">
        <v>0</v>
      </c>
      <c r="L1208">
        <v>0</v>
      </c>
      <c r="M1208">
        <v>130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84</v>
      </c>
      <c r="W1208">
        <v>588</v>
      </c>
      <c r="X1208">
        <v>0</v>
      </c>
      <c r="Z1208">
        <v>0</v>
      </c>
      <c r="AA1208">
        <v>0</v>
      </c>
      <c r="AB1208">
        <v>0</v>
      </c>
      <c r="AC1208">
        <v>0</v>
      </c>
      <c r="AD1208" t="s">
        <v>2464</v>
      </c>
    </row>
    <row r="1209" spans="1:30" x14ac:dyDescent="0.25">
      <c r="H1209" t="s">
        <v>2467</v>
      </c>
    </row>
    <row r="1210" spans="1:30" x14ac:dyDescent="0.25">
      <c r="A1210">
        <v>602</v>
      </c>
      <c r="B1210">
        <v>5088</v>
      </c>
      <c r="C1210" t="s">
        <v>2468</v>
      </c>
      <c r="D1210" t="s">
        <v>333</v>
      </c>
      <c r="E1210" t="s">
        <v>77</v>
      </c>
      <c r="F1210" t="s">
        <v>2469</v>
      </c>
      <c r="G1210" t="str">
        <f>"00351738"</f>
        <v>00351738</v>
      </c>
      <c r="H1210" t="s">
        <v>790</v>
      </c>
      <c r="I1210">
        <v>150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84</v>
      </c>
      <c r="W1210">
        <v>588</v>
      </c>
      <c r="X1210">
        <v>0</v>
      </c>
      <c r="Z1210">
        <v>0</v>
      </c>
      <c r="AA1210">
        <v>0</v>
      </c>
      <c r="AB1210">
        <v>0</v>
      </c>
      <c r="AC1210">
        <v>0</v>
      </c>
      <c r="AD1210" t="s">
        <v>2470</v>
      </c>
    </row>
    <row r="1211" spans="1:30" x14ac:dyDescent="0.25">
      <c r="H1211" t="s">
        <v>2471</v>
      </c>
    </row>
    <row r="1212" spans="1:30" x14ac:dyDescent="0.25">
      <c r="A1212">
        <v>603</v>
      </c>
      <c r="B1212">
        <v>3855</v>
      </c>
      <c r="C1212" t="s">
        <v>2472</v>
      </c>
      <c r="D1212" t="s">
        <v>213</v>
      </c>
      <c r="E1212" t="s">
        <v>119</v>
      </c>
      <c r="F1212" t="s">
        <v>2473</v>
      </c>
      <c r="G1212" t="str">
        <f>"00356261"</f>
        <v>00356261</v>
      </c>
      <c r="H1212" t="s">
        <v>255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60</v>
      </c>
      <c r="W1212">
        <v>420</v>
      </c>
      <c r="X1212">
        <v>0</v>
      </c>
      <c r="Z1212">
        <v>0</v>
      </c>
      <c r="AA1212">
        <v>0</v>
      </c>
      <c r="AB1212">
        <v>24</v>
      </c>
      <c r="AC1212">
        <v>408</v>
      </c>
      <c r="AD1212" t="s">
        <v>2474</v>
      </c>
    </row>
    <row r="1213" spans="1:30" x14ac:dyDescent="0.25">
      <c r="H1213" t="s">
        <v>2475</v>
      </c>
    </row>
    <row r="1214" spans="1:30" x14ac:dyDescent="0.25">
      <c r="A1214">
        <v>604</v>
      </c>
      <c r="B1214">
        <v>3900</v>
      </c>
      <c r="C1214" t="s">
        <v>2476</v>
      </c>
      <c r="D1214" t="s">
        <v>164</v>
      </c>
      <c r="E1214" t="s">
        <v>225</v>
      </c>
      <c r="F1214" t="s">
        <v>2477</v>
      </c>
      <c r="G1214" t="str">
        <f>"00296450"</f>
        <v>00296450</v>
      </c>
      <c r="H1214" t="s">
        <v>1742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50</v>
      </c>
      <c r="O1214">
        <v>0</v>
      </c>
      <c r="P1214">
        <v>30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72</v>
      </c>
      <c r="W1214">
        <v>504</v>
      </c>
      <c r="X1214">
        <v>0</v>
      </c>
      <c r="Z1214">
        <v>0</v>
      </c>
      <c r="AA1214">
        <v>0</v>
      </c>
      <c r="AB1214">
        <v>12</v>
      </c>
      <c r="AC1214">
        <v>204</v>
      </c>
      <c r="AD1214" t="s">
        <v>2478</v>
      </c>
    </row>
    <row r="1215" spans="1:30" x14ac:dyDescent="0.25">
      <c r="H1215" t="s">
        <v>2479</v>
      </c>
    </row>
    <row r="1216" spans="1:30" x14ac:dyDescent="0.25">
      <c r="A1216">
        <v>605</v>
      </c>
      <c r="B1216">
        <v>4228</v>
      </c>
      <c r="C1216" t="s">
        <v>2480</v>
      </c>
      <c r="D1216" t="s">
        <v>164</v>
      </c>
      <c r="E1216" t="s">
        <v>408</v>
      </c>
      <c r="F1216" t="s">
        <v>2481</v>
      </c>
      <c r="G1216" t="str">
        <f>"00140452"</f>
        <v>00140452</v>
      </c>
      <c r="H1216" t="s">
        <v>274</v>
      </c>
      <c r="I1216">
        <v>150</v>
      </c>
      <c r="J1216">
        <v>0</v>
      </c>
      <c r="K1216">
        <v>0</v>
      </c>
      <c r="L1216">
        <v>0</v>
      </c>
      <c r="M1216">
        <v>0</v>
      </c>
      <c r="N1216">
        <v>30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84</v>
      </c>
      <c r="W1216">
        <v>588</v>
      </c>
      <c r="X1216">
        <v>0</v>
      </c>
      <c r="Z1216">
        <v>0</v>
      </c>
      <c r="AA1216">
        <v>0</v>
      </c>
      <c r="AB1216">
        <v>0</v>
      </c>
      <c r="AC1216">
        <v>0</v>
      </c>
      <c r="AD1216" t="s">
        <v>2482</v>
      </c>
    </row>
    <row r="1217" spans="1:30" x14ac:dyDescent="0.25">
      <c r="H1217" t="s">
        <v>2483</v>
      </c>
    </row>
    <row r="1218" spans="1:30" x14ac:dyDescent="0.25">
      <c r="A1218">
        <v>606</v>
      </c>
      <c r="B1218">
        <v>4419</v>
      </c>
      <c r="C1218" t="s">
        <v>2484</v>
      </c>
      <c r="D1218" t="s">
        <v>1732</v>
      </c>
      <c r="E1218" t="s">
        <v>135</v>
      </c>
      <c r="F1218" t="s">
        <v>2485</v>
      </c>
      <c r="G1218" t="str">
        <f>"00024826"</f>
        <v>00024826</v>
      </c>
      <c r="H1218" t="s">
        <v>2486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50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84</v>
      </c>
      <c r="W1218">
        <v>588</v>
      </c>
      <c r="X1218">
        <v>0</v>
      </c>
      <c r="Z1218">
        <v>0</v>
      </c>
      <c r="AA1218">
        <v>0</v>
      </c>
      <c r="AB1218">
        <v>0</v>
      </c>
      <c r="AC1218">
        <v>0</v>
      </c>
      <c r="AD1218" t="s">
        <v>2487</v>
      </c>
    </row>
    <row r="1219" spans="1:30" x14ac:dyDescent="0.25">
      <c r="H1219" t="s">
        <v>2488</v>
      </c>
    </row>
    <row r="1220" spans="1:30" x14ac:dyDescent="0.25">
      <c r="A1220">
        <v>607</v>
      </c>
      <c r="B1220">
        <v>855</v>
      </c>
      <c r="C1220" t="s">
        <v>2489</v>
      </c>
      <c r="D1220" t="s">
        <v>333</v>
      </c>
      <c r="E1220" t="s">
        <v>135</v>
      </c>
      <c r="F1220" t="s">
        <v>2490</v>
      </c>
      <c r="G1220" t="str">
        <f>"00192463"</f>
        <v>00192463</v>
      </c>
      <c r="H1220" t="s">
        <v>1228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70</v>
      </c>
      <c r="R1220">
        <v>0</v>
      </c>
      <c r="S1220">
        <v>0</v>
      </c>
      <c r="T1220">
        <v>0</v>
      </c>
      <c r="U1220">
        <v>0</v>
      </c>
      <c r="V1220">
        <v>84</v>
      </c>
      <c r="W1220">
        <v>588</v>
      </c>
      <c r="X1220">
        <v>0</v>
      </c>
      <c r="Z1220">
        <v>0</v>
      </c>
      <c r="AA1220">
        <v>0</v>
      </c>
      <c r="AB1220">
        <v>0</v>
      </c>
      <c r="AC1220">
        <v>0</v>
      </c>
      <c r="AD1220" t="s">
        <v>2491</v>
      </c>
    </row>
    <row r="1221" spans="1:30" x14ac:dyDescent="0.25">
      <c r="H1221" t="s">
        <v>2492</v>
      </c>
    </row>
    <row r="1222" spans="1:30" x14ac:dyDescent="0.25">
      <c r="A1222">
        <v>608</v>
      </c>
      <c r="B1222">
        <v>293</v>
      </c>
      <c r="C1222" t="s">
        <v>2493</v>
      </c>
      <c r="D1222" t="s">
        <v>2494</v>
      </c>
      <c r="E1222" t="s">
        <v>225</v>
      </c>
      <c r="F1222" t="s">
        <v>2495</v>
      </c>
      <c r="G1222" t="str">
        <f>"201504001818"</f>
        <v>201504001818</v>
      </c>
      <c r="H1222" t="s">
        <v>2052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70</v>
      </c>
      <c r="O1222">
        <v>30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76</v>
      </c>
      <c r="W1222">
        <v>532</v>
      </c>
      <c r="X1222">
        <v>0</v>
      </c>
      <c r="Z1222">
        <v>0</v>
      </c>
      <c r="AA1222">
        <v>0</v>
      </c>
      <c r="AB1222">
        <v>8</v>
      </c>
      <c r="AC1222">
        <v>136</v>
      </c>
      <c r="AD1222" t="s">
        <v>2496</v>
      </c>
    </row>
    <row r="1223" spans="1:30" x14ac:dyDescent="0.25">
      <c r="H1223" t="s">
        <v>2497</v>
      </c>
    </row>
    <row r="1224" spans="1:30" x14ac:dyDescent="0.25">
      <c r="A1224">
        <v>609</v>
      </c>
      <c r="B1224">
        <v>2855</v>
      </c>
      <c r="C1224" t="s">
        <v>2498</v>
      </c>
      <c r="D1224" t="s">
        <v>637</v>
      </c>
      <c r="E1224" t="s">
        <v>59</v>
      </c>
      <c r="F1224" t="s">
        <v>2499</v>
      </c>
      <c r="G1224" t="str">
        <f>"200802005950"</f>
        <v>200802005950</v>
      </c>
      <c r="H1224" t="s">
        <v>2500</v>
      </c>
      <c r="I1224">
        <v>0</v>
      </c>
      <c r="J1224">
        <v>0</v>
      </c>
      <c r="K1224">
        <v>0</v>
      </c>
      <c r="L1224">
        <v>200</v>
      </c>
      <c r="M1224">
        <v>0</v>
      </c>
      <c r="N1224">
        <v>70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84</v>
      </c>
      <c r="W1224">
        <v>588</v>
      </c>
      <c r="X1224">
        <v>0</v>
      </c>
      <c r="Z1224">
        <v>0</v>
      </c>
      <c r="AA1224">
        <v>0</v>
      </c>
      <c r="AB1224">
        <v>0</v>
      </c>
      <c r="AC1224">
        <v>0</v>
      </c>
      <c r="AD1224" t="s">
        <v>2501</v>
      </c>
    </row>
    <row r="1225" spans="1:30" x14ac:dyDescent="0.25">
      <c r="H1225" t="s">
        <v>2502</v>
      </c>
    </row>
    <row r="1226" spans="1:30" x14ac:dyDescent="0.25">
      <c r="A1226">
        <v>610</v>
      </c>
      <c r="B1226">
        <v>2399</v>
      </c>
      <c r="C1226" t="s">
        <v>2503</v>
      </c>
      <c r="D1226" t="s">
        <v>300</v>
      </c>
      <c r="E1226" t="s">
        <v>77</v>
      </c>
      <c r="F1226" t="s">
        <v>2504</v>
      </c>
      <c r="G1226" t="str">
        <f>"00363107"</f>
        <v>00363107</v>
      </c>
      <c r="H1226" t="s">
        <v>2273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60</v>
      </c>
      <c r="W1226">
        <v>420</v>
      </c>
      <c r="X1226">
        <v>0</v>
      </c>
      <c r="Z1226">
        <v>0</v>
      </c>
      <c r="AA1226">
        <v>0</v>
      </c>
      <c r="AB1226">
        <v>24</v>
      </c>
      <c r="AC1226">
        <v>408</v>
      </c>
      <c r="AD1226" t="s">
        <v>2505</v>
      </c>
    </row>
    <row r="1227" spans="1:30" x14ac:dyDescent="0.25">
      <c r="H1227">
        <v>1070</v>
      </c>
    </row>
    <row r="1228" spans="1:30" x14ac:dyDescent="0.25">
      <c r="A1228">
        <v>611</v>
      </c>
      <c r="B1228">
        <v>2816</v>
      </c>
      <c r="C1228" t="s">
        <v>2434</v>
      </c>
      <c r="D1228" t="s">
        <v>293</v>
      </c>
      <c r="E1228" t="s">
        <v>135</v>
      </c>
      <c r="F1228" t="s">
        <v>2506</v>
      </c>
      <c r="G1228" t="str">
        <f>"00028438"</f>
        <v>00028438</v>
      </c>
      <c r="H1228" t="s">
        <v>633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70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69</v>
      </c>
      <c r="W1228">
        <v>483</v>
      </c>
      <c r="X1228">
        <v>0</v>
      </c>
      <c r="Z1228">
        <v>1</v>
      </c>
      <c r="AA1228">
        <v>0</v>
      </c>
      <c r="AB1228">
        <v>15</v>
      </c>
      <c r="AC1228">
        <v>255</v>
      </c>
      <c r="AD1228" t="s">
        <v>2507</v>
      </c>
    </row>
    <row r="1229" spans="1:30" x14ac:dyDescent="0.25">
      <c r="H1229" t="s">
        <v>2508</v>
      </c>
    </row>
    <row r="1230" spans="1:30" x14ac:dyDescent="0.25">
      <c r="A1230">
        <v>612</v>
      </c>
      <c r="B1230">
        <v>3242</v>
      </c>
      <c r="C1230" t="s">
        <v>2509</v>
      </c>
      <c r="D1230" t="s">
        <v>2510</v>
      </c>
      <c r="E1230" t="s">
        <v>35</v>
      </c>
      <c r="F1230" t="s">
        <v>2511</v>
      </c>
      <c r="G1230" t="str">
        <f>"00018963"</f>
        <v>00018963</v>
      </c>
      <c r="H1230" t="s">
        <v>541</v>
      </c>
      <c r="I1230">
        <v>0</v>
      </c>
      <c r="J1230">
        <v>0</v>
      </c>
      <c r="K1230">
        <v>0</v>
      </c>
      <c r="L1230">
        <v>200</v>
      </c>
      <c r="M1230">
        <v>0</v>
      </c>
      <c r="N1230">
        <v>30</v>
      </c>
      <c r="O1230">
        <v>0</v>
      </c>
      <c r="P1230">
        <v>70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57</v>
      </c>
      <c r="W1230">
        <v>399</v>
      </c>
      <c r="X1230">
        <v>0</v>
      </c>
      <c r="Z1230">
        <v>0</v>
      </c>
      <c r="AA1230">
        <v>0</v>
      </c>
      <c r="AB1230">
        <v>0</v>
      </c>
      <c r="AC1230">
        <v>0</v>
      </c>
      <c r="AD1230" t="s">
        <v>2512</v>
      </c>
    </row>
    <row r="1231" spans="1:30" x14ac:dyDescent="0.25">
      <c r="H1231" t="s">
        <v>2513</v>
      </c>
    </row>
    <row r="1232" spans="1:30" x14ac:dyDescent="0.25">
      <c r="A1232">
        <v>613</v>
      </c>
      <c r="B1232">
        <v>2266</v>
      </c>
      <c r="C1232" t="s">
        <v>1447</v>
      </c>
      <c r="D1232" t="s">
        <v>164</v>
      </c>
      <c r="E1232" t="s">
        <v>408</v>
      </c>
      <c r="F1232" t="s">
        <v>2514</v>
      </c>
      <c r="G1232" t="str">
        <f>"00330294"</f>
        <v>00330294</v>
      </c>
      <c r="H1232" t="s">
        <v>1107</v>
      </c>
      <c r="I1232">
        <v>0</v>
      </c>
      <c r="J1232">
        <v>0</v>
      </c>
      <c r="K1232">
        <v>0</v>
      </c>
      <c r="L1232">
        <v>200</v>
      </c>
      <c r="M1232">
        <v>0</v>
      </c>
      <c r="N1232">
        <v>30</v>
      </c>
      <c r="O1232">
        <v>50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60</v>
      </c>
      <c r="W1232">
        <v>420</v>
      </c>
      <c r="X1232">
        <v>0</v>
      </c>
      <c r="Z1232">
        <v>0</v>
      </c>
      <c r="AA1232">
        <v>0</v>
      </c>
      <c r="AB1232">
        <v>0</v>
      </c>
      <c r="AC1232">
        <v>0</v>
      </c>
      <c r="AD1232" t="s">
        <v>2515</v>
      </c>
    </row>
    <row r="1233" spans="1:30" x14ac:dyDescent="0.25">
      <c r="H1233" t="s">
        <v>2516</v>
      </c>
    </row>
    <row r="1234" spans="1:30" x14ac:dyDescent="0.25">
      <c r="A1234">
        <v>614</v>
      </c>
      <c r="B1234">
        <v>3617</v>
      </c>
      <c r="C1234" t="s">
        <v>1048</v>
      </c>
      <c r="D1234" t="s">
        <v>435</v>
      </c>
      <c r="E1234" t="s">
        <v>119</v>
      </c>
      <c r="F1234" t="s">
        <v>2517</v>
      </c>
      <c r="G1234" t="str">
        <f>"00246914"</f>
        <v>00246914</v>
      </c>
      <c r="H1234" t="s">
        <v>2518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60</v>
      </c>
      <c r="W1234">
        <v>420</v>
      </c>
      <c r="X1234">
        <v>0</v>
      </c>
      <c r="Z1234">
        <v>0</v>
      </c>
      <c r="AA1234">
        <v>0</v>
      </c>
      <c r="AB1234">
        <v>24</v>
      </c>
      <c r="AC1234">
        <v>408</v>
      </c>
      <c r="AD1234" t="s">
        <v>2519</v>
      </c>
    </row>
    <row r="1235" spans="1:30" x14ac:dyDescent="0.25">
      <c r="H1235" t="s">
        <v>2520</v>
      </c>
    </row>
    <row r="1236" spans="1:30" x14ac:dyDescent="0.25">
      <c r="A1236">
        <v>615</v>
      </c>
      <c r="B1236">
        <v>4658</v>
      </c>
      <c r="C1236" t="s">
        <v>2521</v>
      </c>
      <c r="D1236" t="s">
        <v>48</v>
      </c>
      <c r="E1236" t="s">
        <v>1361</v>
      </c>
      <c r="F1236" t="s">
        <v>2522</v>
      </c>
      <c r="G1236" t="str">
        <f>"00183153"</f>
        <v>00183153</v>
      </c>
      <c r="H1236" t="s">
        <v>842</v>
      </c>
      <c r="I1236">
        <v>0</v>
      </c>
      <c r="J1236">
        <v>0</v>
      </c>
      <c r="K1236">
        <v>0</v>
      </c>
      <c r="L1236">
        <v>200</v>
      </c>
      <c r="M1236">
        <v>0</v>
      </c>
      <c r="N1236">
        <v>30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84</v>
      </c>
      <c r="W1236">
        <v>588</v>
      </c>
      <c r="X1236">
        <v>0</v>
      </c>
      <c r="Z1236">
        <v>0</v>
      </c>
      <c r="AA1236">
        <v>0</v>
      </c>
      <c r="AB1236">
        <v>0</v>
      </c>
      <c r="AC1236">
        <v>0</v>
      </c>
      <c r="AD1236" t="s">
        <v>2523</v>
      </c>
    </row>
    <row r="1237" spans="1:30" x14ac:dyDescent="0.25">
      <c r="H1237" t="s">
        <v>2524</v>
      </c>
    </row>
    <row r="1238" spans="1:30" x14ac:dyDescent="0.25">
      <c r="A1238">
        <v>616</v>
      </c>
      <c r="B1238">
        <v>220</v>
      </c>
      <c r="C1238" t="s">
        <v>2525</v>
      </c>
      <c r="D1238" t="s">
        <v>59</v>
      </c>
      <c r="E1238" t="s">
        <v>77</v>
      </c>
      <c r="F1238" t="s">
        <v>2526</v>
      </c>
      <c r="G1238" t="str">
        <f>"00005318"</f>
        <v>00005318</v>
      </c>
      <c r="H1238">
        <v>715</v>
      </c>
      <c r="I1238">
        <v>0</v>
      </c>
      <c r="J1238">
        <v>0</v>
      </c>
      <c r="K1238">
        <v>0</v>
      </c>
      <c r="L1238">
        <v>200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84</v>
      </c>
      <c r="W1238">
        <v>588</v>
      </c>
      <c r="X1238">
        <v>0</v>
      </c>
      <c r="Z1238">
        <v>0</v>
      </c>
      <c r="AA1238">
        <v>0</v>
      </c>
      <c r="AB1238">
        <v>0</v>
      </c>
      <c r="AC1238">
        <v>0</v>
      </c>
      <c r="AD1238">
        <v>1503</v>
      </c>
    </row>
    <row r="1239" spans="1:30" x14ac:dyDescent="0.25">
      <c r="H1239">
        <v>1086</v>
      </c>
    </row>
    <row r="1240" spans="1:30" x14ac:dyDescent="0.25">
      <c r="A1240">
        <v>617</v>
      </c>
      <c r="B1240">
        <v>2738</v>
      </c>
      <c r="C1240" t="s">
        <v>1056</v>
      </c>
      <c r="D1240" t="s">
        <v>1057</v>
      </c>
      <c r="E1240" t="s">
        <v>203</v>
      </c>
      <c r="F1240" t="s">
        <v>1058</v>
      </c>
      <c r="G1240" t="str">
        <f>"00115995"</f>
        <v>00115995</v>
      </c>
      <c r="H1240" t="s">
        <v>1059</v>
      </c>
      <c r="I1240">
        <v>0</v>
      </c>
      <c r="J1240">
        <v>0</v>
      </c>
      <c r="K1240">
        <v>0</v>
      </c>
      <c r="L1240">
        <v>0</v>
      </c>
      <c r="M1240">
        <v>100</v>
      </c>
      <c r="N1240">
        <v>70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84</v>
      </c>
      <c r="W1240">
        <v>588</v>
      </c>
      <c r="X1240">
        <v>0</v>
      </c>
      <c r="Z1240">
        <v>0</v>
      </c>
      <c r="AA1240">
        <v>0</v>
      </c>
      <c r="AB1240">
        <v>0</v>
      </c>
      <c r="AC1240">
        <v>0</v>
      </c>
      <c r="AD1240" t="s">
        <v>2527</v>
      </c>
    </row>
    <row r="1241" spans="1:30" x14ac:dyDescent="0.25">
      <c r="H1241" t="s">
        <v>1061</v>
      </c>
    </row>
    <row r="1242" spans="1:30" x14ac:dyDescent="0.25">
      <c r="A1242">
        <v>618</v>
      </c>
      <c r="B1242">
        <v>3756</v>
      </c>
      <c r="C1242" t="s">
        <v>2528</v>
      </c>
      <c r="D1242" t="s">
        <v>59</v>
      </c>
      <c r="E1242" t="s">
        <v>77</v>
      </c>
      <c r="F1242" t="s">
        <v>2529</v>
      </c>
      <c r="G1242" t="str">
        <f>"00030602"</f>
        <v>00030602</v>
      </c>
      <c r="H1242" t="s">
        <v>2530</v>
      </c>
      <c r="I1242">
        <v>0</v>
      </c>
      <c r="J1242">
        <v>0</v>
      </c>
      <c r="K1242">
        <v>0</v>
      </c>
      <c r="L1242">
        <v>0</v>
      </c>
      <c r="M1242">
        <v>100</v>
      </c>
      <c r="N1242">
        <v>70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84</v>
      </c>
      <c r="W1242">
        <v>588</v>
      </c>
      <c r="X1242">
        <v>0</v>
      </c>
      <c r="Z1242">
        <v>0</v>
      </c>
      <c r="AA1242">
        <v>0</v>
      </c>
      <c r="AB1242">
        <v>0</v>
      </c>
      <c r="AC1242">
        <v>0</v>
      </c>
      <c r="AD1242" t="s">
        <v>2531</v>
      </c>
    </row>
    <row r="1243" spans="1:30" x14ac:dyDescent="0.25">
      <c r="H1243" t="s">
        <v>2532</v>
      </c>
    </row>
    <row r="1244" spans="1:30" x14ac:dyDescent="0.25">
      <c r="A1244">
        <v>619</v>
      </c>
      <c r="B1244">
        <v>3970</v>
      </c>
      <c r="C1244" t="s">
        <v>2533</v>
      </c>
      <c r="D1244" t="s">
        <v>435</v>
      </c>
      <c r="E1244" t="s">
        <v>77</v>
      </c>
      <c r="F1244" t="s">
        <v>2534</v>
      </c>
      <c r="G1244" t="str">
        <f>"201504002304"</f>
        <v>201504002304</v>
      </c>
      <c r="H1244" t="s">
        <v>1136</v>
      </c>
      <c r="I1244">
        <v>0</v>
      </c>
      <c r="J1244">
        <v>0</v>
      </c>
      <c r="K1244">
        <v>0</v>
      </c>
      <c r="L1244">
        <v>200</v>
      </c>
      <c r="M1244">
        <v>0</v>
      </c>
      <c r="N1244">
        <v>70</v>
      </c>
      <c r="O1244">
        <v>30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2</v>
      </c>
      <c r="W1244">
        <v>14</v>
      </c>
      <c r="X1244">
        <v>0</v>
      </c>
      <c r="Z1244">
        <v>0</v>
      </c>
      <c r="AA1244">
        <v>0</v>
      </c>
      <c r="AB1244">
        <v>24</v>
      </c>
      <c r="AC1244">
        <v>408</v>
      </c>
      <c r="AD1244" t="s">
        <v>2535</v>
      </c>
    </row>
    <row r="1245" spans="1:30" x14ac:dyDescent="0.25">
      <c r="H1245" t="s">
        <v>2536</v>
      </c>
    </row>
    <row r="1246" spans="1:30" x14ac:dyDescent="0.25">
      <c r="A1246">
        <v>620</v>
      </c>
      <c r="B1246">
        <v>2087</v>
      </c>
      <c r="C1246" t="s">
        <v>2537</v>
      </c>
      <c r="D1246" t="s">
        <v>77</v>
      </c>
      <c r="E1246" t="s">
        <v>135</v>
      </c>
      <c r="F1246" t="s">
        <v>2538</v>
      </c>
      <c r="G1246" t="str">
        <f>"201504003958"</f>
        <v>201504003958</v>
      </c>
      <c r="H1246" t="s">
        <v>166</v>
      </c>
      <c r="I1246">
        <v>0</v>
      </c>
      <c r="J1246">
        <v>400</v>
      </c>
      <c r="K1246">
        <v>0</v>
      </c>
      <c r="L1246">
        <v>200</v>
      </c>
      <c r="M1246">
        <v>0</v>
      </c>
      <c r="N1246">
        <v>70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W1246">
        <v>0</v>
      </c>
      <c r="X1246">
        <v>0</v>
      </c>
      <c r="Z1246">
        <v>0</v>
      </c>
      <c r="AA1246">
        <v>0</v>
      </c>
      <c r="AB1246">
        <v>0</v>
      </c>
      <c r="AC1246">
        <v>0</v>
      </c>
      <c r="AD1246" t="s">
        <v>2539</v>
      </c>
    </row>
    <row r="1247" spans="1:30" x14ac:dyDescent="0.25">
      <c r="H1247" t="s">
        <v>2540</v>
      </c>
    </row>
    <row r="1248" spans="1:30" x14ac:dyDescent="0.25">
      <c r="A1248">
        <v>621</v>
      </c>
      <c r="B1248">
        <v>3943</v>
      </c>
      <c r="C1248" t="s">
        <v>2541</v>
      </c>
      <c r="D1248" t="s">
        <v>389</v>
      </c>
      <c r="E1248" t="s">
        <v>135</v>
      </c>
      <c r="F1248" t="s">
        <v>2542</v>
      </c>
      <c r="G1248" t="str">
        <f>"00363283"</f>
        <v>00363283</v>
      </c>
      <c r="H1248">
        <v>891</v>
      </c>
      <c r="I1248">
        <v>0</v>
      </c>
      <c r="J1248">
        <v>0</v>
      </c>
      <c r="K1248">
        <v>0</v>
      </c>
      <c r="L1248">
        <v>200</v>
      </c>
      <c r="M1248">
        <v>0</v>
      </c>
      <c r="N1248">
        <v>70</v>
      </c>
      <c r="O1248">
        <v>0</v>
      </c>
      <c r="P1248">
        <v>50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41</v>
      </c>
      <c r="W1248">
        <v>287</v>
      </c>
      <c r="X1248">
        <v>0</v>
      </c>
      <c r="Z1248">
        <v>0</v>
      </c>
      <c r="AA1248">
        <v>0</v>
      </c>
      <c r="AB1248">
        <v>0</v>
      </c>
      <c r="AC1248">
        <v>0</v>
      </c>
      <c r="AD1248">
        <v>1498</v>
      </c>
    </row>
    <row r="1249" spans="1:30" x14ac:dyDescent="0.25">
      <c r="H1249" t="s">
        <v>2543</v>
      </c>
    </row>
    <row r="1250" spans="1:30" x14ac:dyDescent="0.25">
      <c r="A1250">
        <v>622</v>
      </c>
      <c r="B1250">
        <v>2381</v>
      </c>
      <c r="C1250" t="s">
        <v>2544</v>
      </c>
      <c r="D1250" t="s">
        <v>135</v>
      </c>
      <c r="E1250" t="s">
        <v>42</v>
      </c>
      <c r="F1250" t="s">
        <v>2545</v>
      </c>
      <c r="G1250" t="str">
        <f>"201411000044"</f>
        <v>201411000044</v>
      </c>
      <c r="H1250" t="s">
        <v>2165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48</v>
      </c>
      <c r="W1250">
        <v>336</v>
      </c>
      <c r="X1250">
        <v>0</v>
      </c>
      <c r="Z1250">
        <v>0</v>
      </c>
      <c r="AA1250">
        <v>0</v>
      </c>
      <c r="AB1250">
        <v>24</v>
      </c>
      <c r="AC1250">
        <v>408</v>
      </c>
      <c r="AD1250" t="s">
        <v>2546</v>
      </c>
    </row>
    <row r="1251" spans="1:30" x14ac:dyDescent="0.25">
      <c r="H1251" t="s">
        <v>2547</v>
      </c>
    </row>
    <row r="1252" spans="1:30" x14ac:dyDescent="0.25">
      <c r="A1252">
        <v>623</v>
      </c>
      <c r="B1252">
        <v>4818</v>
      </c>
      <c r="C1252" t="s">
        <v>2548</v>
      </c>
      <c r="D1252" t="s">
        <v>252</v>
      </c>
      <c r="E1252" t="s">
        <v>253</v>
      </c>
      <c r="F1252" t="s">
        <v>2549</v>
      </c>
      <c r="G1252" t="str">
        <f>"00246740"</f>
        <v>00246740</v>
      </c>
      <c r="H1252" t="s">
        <v>498</v>
      </c>
      <c r="I1252">
        <v>0</v>
      </c>
      <c r="J1252">
        <v>0</v>
      </c>
      <c r="K1252">
        <v>0</v>
      </c>
      <c r="L1252">
        <v>0</v>
      </c>
      <c r="M1252">
        <v>100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84</v>
      </c>
      <c r="W1252">
        <v>588</v>
      </c>
      <c r="X1252">
        <v>0</v>
      </c>
      <c r="Z1252">
        <v>0</v>
      </c>
      <c r="AA1252">
        <v>0</v>
      </c>
      <c r="AB1252">
        <v>0</v>
      </c>
      <c r="AC1252">
        <v>0</v>
      </c>
      <c r="AD1252" t="s">
        <v>2550</v>
      </c>
    </row>
    <row r="1253" spans="1:30" x14ac:dyDescent="0.25">
      <c r="H1253" t="s">
        <v>2551</v>
      </c>
    </row>
    <row r="1254" spans="1:30" x14ac:dyDescent="0.25">
      <c r="A1254">
        <v>624</v>
      </c>
      <c r="B1254">
        <v>4483</v>
      </c>
      <c r="C1254" t="s">
        <v>2552</v>
      </c>
      <c r="D1254" t="s">
        <v>2553</v>
      </c>
      <c r="E1254" t="s">
        <v>294</v>
      </c>
      <c r="F1254" t="s">
        <v>2554</v>
      </c>
      <c r="G1254" t="str">
        <f>"00142673"</f>
        <v>00142673</v>
      </c>
      <c r="H1254" t="s">
        <v>498</v>
      </c>
      <c r="I1254">
        <v>0</v>
      </c>
      <c r="J1254">
        <v>0</v>
      </c>
      <c r="K1254">
        <v>0</v>
      </c>
      <c r="L1254">
        <v>0</v>
      </c>
      <c r="M1254">
        <v>100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84</v>
      </c>
      <c r="W1254">
        <v>588</v>
      </c>
      <c r="X1254">
        <v>0</v>
      </c>
      <c r="Z1254">
        <v>1</v>
      </c>
      <c r="AA1254">
        <v>0</v>
      </c>
      <c r="AB1254">
        <v>0</v>
      </c>
      <c r="AC1254">
        <v>0</v>
      </c>
      <c r="AD1254" t="s">
        <v>2550</v>
      </c>
    </row>
    <row r="1255" spans="1:30" x14ac:dyDescent="0.25">
      <c r="H1255" t="s">
        <v>2555</v>
      </c>
    </row>
    <row r="1256" spans="1:30" x14ac:dyDescent="0.25">
      <c r="A1256">
        <v>625</v>
      </c>
      <c r="B1256">
        <v>4628</v>
      </c>
      <c r="C1256" t="s">
        <v>2556</v>
      </c>
      <c r="D1256" t="s">
        <v>1270</v>
      </c>
      <c r="E1256" t="s">
        <v>272</v>
      </c>
      <c r="F1256" t="s">
        <v>2557</v>
      </c>
      <c r="G1256" t="str">
        <f>"201504004741"</f>
        <v>201504004741</v>
      </c>
      <c r="H1256" t="s">
        <v>414</v>
      </c>
      <c r="I1256">
        <v>0</v>
      </c>
      <c r="J1256">
        <v>0</v>
      </c>
      <c r="K1256">
        <v>0</v>
      </c>
      <c r="L1256">
        <v>200</v>
      </c>
      <c r="M1256">
        <v>0</v>
      </c>
      <c r="N1256">
        <v>30</v>
      </c>
      <c r="O1256">
        <v>30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64</v>
      </c>
      <c r="W1256">
        <v>448</v>
      </c>
      <c r="X1256">
        <v>0</v>
      </c>
      <c r="Z1256">
        <v>0</v>
      </c>
      <c r="AA1256">
        <v>0</v>
      </c>
      <c r="AB1256">
        <v>0</v>
      </c>
      <c r="AC1256">
        <v>0</v>
      </c>
      <c r="AD1256" t="s">
        <v>2558</v>
      </c>
    </row>
    <row r="1257" spans="1:30" x14ac:dyDescent="0.25">
      <c r="H1257" t="s">
        <v>2559</v>
      </c>
    </row>
    <row r="1258" spans="1:30" x14ac:dyDescent="0.25">
      <c r="A1258">
        <v>626</v>
      </c>
      <c r="B1258">
        <v>827</v>
      </c>
      <c r="C1258" t="s">
        <v>1901</v>
      </c>
      <c r="D1258" t="s">
        <v>103</v>
      </c>
      <c r="E1258" t="s">
        <v>135</v>
      </c>
      <c r="F1258" t="s">
        <v>1902</v>
      </c>
      <c r="G1258" t="str">
        <f>"201511042578"</f>
        <v>201511042578</v>
      </c>
      <c r="H1258" t="s">
        <v>802</v>
      </c>
      <c r="I1258">
        <v>0</v>
      </c>
      <c r="J1258">
        <v>0</v>
      </c>
      <c r="K1258">
        <v>0</v>
      </c>
      <c r="L1258">
        <v>200</v>
      </c>
      <c r="M1258">
        <v>0</v>
      </c>
      <c r="N1258">
        <v>70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68</v>
      </c>
      <c r="W1258">
        <v>476</v>
      </c>
      <c r="X1258">
        <v>0</v>
      </c>
      <c r="Z1258">
        <v>0</v>
      </c>
      <c r="AA1258">
        <v>0</v>
      </c>
      <c r="AB1258">
        <v>0</v>
      </c>
      <c r="AC1258">
        <v>0</v>
      </c>
      <c r="AD1258" t="s">
        <v>2560</v>
      </c>
    </row>
    <row r="1259" spans="1:30" x14ac:dyDescent="0.25">
      <c r="H1259" t="s">
        <v>1904</v>
      </c>
    </row>
    <row r="1260" spans="1:30" x14ac:dyDescent="0.25">
      <c r="A1260">
        <v>627</v>
      </c>
      <c r="B1260">
        <v>2447</v>
      </c>
      <c r="C1260" t="s">
        <v>2561</v>
      </c>
      <c r="D1260" t="s">
        <v>135</v>
      </c>
      <c r="E1260" t="s">
        <v>119</v>
      </c>
      <c r="F1260" t="s">
        <v>2562</v>
      </c>
      <c r="G1260" t="str">
        <f>"200801005775"</f>
        <v>200801005775</v>
      </c>
      <c r="H1260">
        <v>671</v>
      </c>
      <c r="I1260">
        <v>0</v>
      </c>
      <c r="J1260">
        <v>0</v>
      </c>
      <c r="K1260">
        <v>0</v>
      </c>
      <c r="L1260">
        <v>200</v>
      </c>
      <c r="M1260">
        <v>0</v>
      </c>
      <c r="N1260">
        <v>30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84</v>
      </c>
      <c r="W1260">
        <v>588</v>
      </c>
      <c r="X1260">
        <v>0</v>
      </c>
      <c r="Z1260">
        <v>0</v>
      </c>
      <c r="AA1260">
        <v>0</v>
      </c>
      <c r="AB1260">
        <v>0</v>
      </c>
      <c r="AC1260">
        <v>0</v>
      </c>
      <c r="AD1260">
        <v>1489</v>
      </c>
    </row>
    <row r="1261" spans="1:30" x14ac:dyDescent="0.25">
      <c r="H1261">
        <v>1085</v>
      </c>
    </row>
    <row r="1262" spans="1:30" x14ac:dyDescent="0.25">
      <c r="A1262">
        <v>628</v>
      </c>
      <c r="B1262">
        <v>3865</v>
      </c>
      <c r="C1262" t="s">
        <v>2563</v>
      </c>
      <c r="D1262" t="s">
        <v>42</v>
      </c>
      <c r="E1262" t="s">
        <v>408</v>
      </c>
      <c r="F1262" t="s">
        <v>2564</v>
      </c>
      <c r="G1262" t="str">
        <f>"00364118"</f>
        <v>00364118</v>
      </c>
      <c r="H1262" t="s">
        <v>980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70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84</v>
      </c>
      <c r="W1262">
        <v>588</v>
      </c>
      <c r="X1262">
        <v>0</v>
      </c>
      <c r="Z1262">
        <v>0</v>
      </c>
      <c r="AA1262">
        <v>0</v>
      </c>
      <c r="AB1262">
        <v>0</v>
      </c>
      <c r="AC1262">
        <v>0</v>
      </c>
      <c r="AD1262" t="s">
        <v>2565</v>
      </c>
    </row>
    <row r="1263" spans="1:30" x14ac:dyDescent="0.25">
      <c r="H1263">
        <v>1085</v>
      </c>
    </row>
    <row r="1264" spans="1:30" x14ac:dyDescent="0.25">
      <c r="A1264">
        <v>629</v>
      </c>
      <c r="B1264">
        <v>539</v>
      </c>
      <c r="C1264" t="s">
        <v>2566</v>
      </c>
      <c r="D1264" t="s">
        <v>2567</v>
      </c>
      <c r="E1264" t="s">
        <v>77</v>
      </c>
      <c r="F1264" t="s">
        <v>2568</v>
      </c>
      <c r="G1264" t="str">
        <f>"201503000099"</f>
        <v>201503000099</v>
      </c>
      <c r="H1264" t="s">
        <v>79</v>
      </c>
      <c r="I1264">
        <v>0</v>
      </c>
      <c r="J1264">
        <v>0</v>
      </c>
      <c r="K1264">
        <v>0</v>
      </c>
      <c r="L1264">
        <v>260</v>
      </c>
      <c r="M1264">
        <v>0</v>
      </c>
      <c r="N1264">
        <v>70</v>
      </c>
      <c r="O1264">
        <v>0</v>
      </c>
      <c r="P1264">
        <v>30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49</v>
      </c>
      <c r="W1264">
        <v>343</v>
      </c>
      <c r="X1264">
        <v>0</v>
      </c>
      <c r="Z1264">
        <v>0</v>
      </c>
      <c r="AA1264">
        <v>0</v>
      </c>
      <c r="AB1264">
        <v>0</v>
      </c>
      <c r="AC1264">
        <v>0</v>
      </c>
      <c r="AD1264" t="s">
        <v>2569</v>
      </c>
    </row>
    <row r="1265" spans="1:30" x14ac:dyDescent="0.25">
      <c r="H1265" t="s">
        <v>2265</v>
      </c>
    </row>
    <row r="1266" spans="1:30" x14ac:dyDescent="0.25">
      <c r="A1266">
        <v>630</v>
      </c>
      <c r="B1266">
        <v>473</v>
      </c>
      <c r="C1266" t="s">
        <v>2570</v>
      </c>
      <c r="D1266" t="s">
        <v>2571</v>
      </c>
      <c r="E1266" t="s">
        <v>794</v>
      </c>
      <c r="F1266" t="s">
        <v>2572</v>
      </c>
      <c r="G1266" t="str">
        <f>"00039143"</f>
        <v>00039143</v>
      </c>
      <c r="H1266">
        <v>737</v>
      </c>
      <c r="I1266">
        <v>0</v>
      </c>
      <c r="J1266">
        <v>0</v>
      </c>
      <c r="K1266">
        <v>0</v>
      </c>
      <c r="L1266">
        <v>0</v>
      </c>
      <c r="M1266">
        <v>100</v>
      </c>
      <c r="N1266">
        <v>30</v>
      </c>
      <c r="O1266">
        <v>30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84</v>
      </c>
      <c r="W1266">
        <v>588</v>
      </c>
      <c r="X1266">
        <v>0</v>
      </c>
      <c r="Z1266">
        <v>1</v>
      </c>
      <c r="AA1266">
        <v>0</v>
      </c>
      <c r="AB1266">
        <v>0</v>
      </c>
      <c r="AC1266">
        <v>0</v>
      </c>
      <c r="AD1266">
        <v>1485</v>
      </c>
    </row>
    <row r="1267" spans="1:30" x14ac:dyDescent="0.25">
      <c r="H1267" t="s">
        <v>2573</v>
      </c>
    </row>
    <row r="1268" spans="1:30" x14ac:dyDescent="0.25">
      <c r="A1268">
        <v>631</v>
      </c>
      <c r="B1268">
        <v>1044</v>
      </c>
      <c r="C1268" t="s">
        <v>2574</v>
      </c>
      <c r="D1268" t="s">
        <v>2575</v>
      </c>
      <c r="E1268" t="s">
        <v>28</v>
      </c>
      <c r="F1268" t="s">
        <v>2576</v>
      </c>
      <c r="G1268" t="str">
        <f>"201406006995"</f>
        <v>201406006995</v>
      </c>
      <c r="H1268" t="s">
        <v>1370</v>
      </c>
      <c r="I1268">
        <v>0</v>
      </c>
      <c r="J1268">
        <v>0</v>
      </c>
      <c r="K1268">
        <v>0</v>
      </c>
      <c r="L1268">
        <v>0</v>
      </c>
      <c r="M1268">
        <v>100</v>
      </c>
      <c r="N1268">
        <v>30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84</v>
      </c>
      <c r="W1268">
        <v>588</v>
      </c>
      <c r="X1268">
        <v>0</v>
      </c>
      <c r="Z1268">
        <v>0</v>
      </c>
      <c r="AA1268">
        <v>0</v>
      </c>
      <c r="AB1268">
        <v>0</v>
      </c>
      <c r="AC1268">
        <v>0</v>
      </c>
      <c r="AD1268" t="s">
        <v>2577</v>
      </c>
    </row>
    <row r="1269" spans="1:30" x14ac:dyDescent="0.25">
      <c r="H1269" t="s">
        <v>2578</v>
      </c>
    </row>
    <row r="1270" spans="1:30" x14ac:dyDescent="0.25">
      <c r="A1270">
        <v>632</v>
      </c>
      <c r="B1270">
        <v>1675</v>
      </c>
      <c r="C1270" t="s">
        <v>2579</v>
      </c>
      <c r="D1270" t="s">
        <v>755</v>
      </c>
      <c r="E1270" t="s">
        <v>59</v>
      </c>
      <c r="F1270" t="s">
        <v>2580</v>
      </c>
      <c r="G1270" t="str">
        <f>"00002315"</f>
        <v>00002315</v>
      </c>
      <c r="H1270">
        <v>726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70</v>
      </c>
      <c r="W1270">
        <v>490</v>
      </c>
      <c r="X1270">
        <v>0</v>
      </c>
      <c r="Z1270">
        <v>0</v>
      </c>
      <c r="AA1270">
        <v>0</v>
      </c>
      <c r="AB1270">
        <v>14</v>
      </c>
      <c r="AC1270">
        <v>238</v>
      </c>
      <c r="AD1270">
        <v>1484</v>
      </c>
    </row>
    <row r="1271" spans="1:30" x14ac:dyDescent="0.25">
      <c r="H1271" t="s">
        <v>2581</v>
      </c>
    </row>
    <row r="1272" spans="1:30" x14ac:dyDescent="0.25">
      <c r="A1272">
        <v>633</v>
      </c>
      <c r="B1272">
        <v>918</v>
      </c>
      <c r="C1272" t="s">
        <v>2582</v>
      </c>
      <c r="D1272" t="s">
        <v>2583</v>
      </c>
      <c r="E1272" t="s">
        <v>2584</v>
      </c>
      <c r="F1272" t="s">
        <v>2585</v>
      </c>
      <c r="G1272" t="str">
        <f>"00020496"</f>
        <v>00020496</v>
      </c>
      <c r="H1272" t="s">
        <v>1136</v>
      </c>
      <c r="I1272">
        <v>0</v>
      </c>
      <c r="J1272">
        <v>0</v>
      </c>
      <c r="K1272">
        <v>0</v>
      </c>
      <c r="L1272">
        <v>0</v>
      </c>
      <c r="M1272">
        <v>100</v>
      </c>
      <c r="N1272">
        <v>30</v>
      </c>
      <c r="O1272">
        <v>0</v>
      </c>
      <c r="P1272">
        <v>30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78</v>
      </c>
      <c r="W1272">
        <v>546</v>
      </c>
      <c r="X1272">
        <v>0</v>
      </c>
      <c r="Z1272">
        <v>0</v>
      </c>
      <c r="AA1272">
        <v>0</v>
      </c>
      <c r="AB1272">
        <v>0</v>
      </c>
      <c r="AC1272">
        <v>0</v>
      </c>
      <c r="AD1272" t="s">
        <v>2586</v>
      </c>
    </row>
    <row r="1273" spans="1:30" x14ac:dyDescent="0.25">
      <c r="H1273" t="s">
        <v>2587</v>
      </c>
    </row>
    <row r="1274" spans="1:30" x14ac:dyDescent="0.25">
      <c r="A1274">
        <v>634</v>
      </c>
      <c r="B1274">
        <v>1035</v>
      </c>
      <c r="C1274" t="s">
        <v>1144</v>
      </c>
      <c r="D1274" t="s">
        <v>448</v>
      </c>
      <c r="E1274" t="s">
        <v>158</v>
      </c>
      <c r="F1274" t="s">
        <v>1145</v>
      </c>
      <c r="G1274" t="str">
        <f>"201412003715"</f>
        <v>201412003715</v>
      </c>
      <c r="H1274" t="s">
        <v>1146</v>
      </c>
      <c r="I1274">
        <v>0</v>
      </c>
      <c r="J1274">
        <v>0</v>
      </c>
      <c r="K1274">
        <v>0</v>
      </c>
      <c r="L1274">
        <v>0</v>
      </c>
      <c r="M1274">
        <v>100</v>
      </c>
      <c r="N1274">
        <v>70</v>
      </c>
      <c r="O1274">
        <v>30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84</v>
      </c>
      <c r="W1274">
        <v>588</v>
      </c>
      <c r="X1274">
        <v>0</v>
      </c>
      <c r="Z1274">
        <v>0</v>
      </c>
      <c r="AA1274">
        <v>0</v>
      </c>
      <c r="AB1274">
        <v>0</v>
      </c>
      <c r="AC1274">
        <v>0</v>
      </c>
      <c r="AD1274" t="s">
        <v>2588</v>
      </c>
    </row>
    <row r="1275" spans="1:30" x14ac:dyDescent="0.25">
      <c r="H1275" t="s">
        <v>1148</v>
      </c>
    </row>
    <row r="1276" spans="1:30" x14ac:dyDescent="0.25">
      <c r="A1276">
        <v>635</v>
      </c>
      <c r="B1276">
        <v>1910</v>
      </c>
      <c r="C1276" t="s">
        <v>2589</v>
      </c>
      <c r="D1276" t="s">
        <v>89</v>
      </c>
      <c r="E1276" t="s">
        <v>77</v>
      </c>
      <c r="F1276" t="s">
        <v>2590</v>
      </c>
      <c r="G1276" t="str">
        <f>"201504002705"</f>
        <v>201504002705</v>
      </c>
      <c r="H1276" t="s">
        <v>2591</v>
      </c>
      <c r="I1276">
        <v>0</v>
      </c>
      <c r="J1276">
        <v>0</v>
      </c>
      <c r="K1276">
        <v>0</v>
      </c>
      <c r="L1276">
        <v>200</v>
      </c>
      <c r="M1276">
        <v>0</v>
      </c>
      <c r="N1276">
        <v>70</v>
      </c>
      <c r="O1276">
        <v>0</v>
      </c>
      <c r="P1276">
        <v>30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47</v>
      </c>
      <c r="W1276">
        <v>329</v>
      </c>
      <c r="X1276">
        <v>6</v>
      </c>
      <c r="Y1276">
        <v>1084</v>
      </c>
      <c r="Z1276">
        <v>0</v>
      </c>
      <c r="AA1276">
        <v>0</v>
      </c>
      <c r="AB1276">
        <v>0</v>
      </c>
      <c r="AC1276">
        <v>0</v>
      </c>
      <c r="AD1276" t="s">
        <v>2592</v>
      </c>
    </row>
    <row r="1277" spans="1:30" x14ac:dyDescent="0.25">
      <c r="H1277">
        <v>1084</v>
      </c>
    </row>
    <row r="1278" spans="1:30" x14ac:dyDescent="0.25">
      <c r="A1278">
        <v>636</v>
      </c>
      <c r="B1278">
        <v>1842</v>
      </c>
      <c r="C1278" t="s">
        <v>2593</v>
      </c>
      <c r="D1278" t="s">
        <v>77</v>
      </c>
      <c r="E1278" t="s">
        <v>59</v>
      </c>
      <c r="F1278" t="s">
        <v>2594</v>
      </c>
      <c r="G1278" t="str">
        <f>"00323162"</f>
        <v>00323162</v>
      </c>
      <c r="H1278">
        <v>814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76</v>
      </c>
      <c r="W1278">
        <v>532</v>
      </c>
      <c r="X1278">
        <v>0</v>
      </c>
      <c r="Z1278">
        <v>0</v>
      </c>
      <c r="AA1278">
        <v>0</v>
      </c>
      <c r="AB1278">
        <v>8</v>
      </c>
      <c r="AC1278">
        <v>136</v>
      </c>
      <c r="AD1278">
        <v>1482</v>
      </c>
    </row>
    <row r="1279" spans="1:30" x14ac:dyDescent="0.25">
      <c r="H1279" t="s">
        <v>933</v>
      </c>
    </row>
    <row r="1280" spans="1:30" x14ac:dyDescent="0.25">
      <c r="A1280">
        <v>637</v>
      </c>
      <c r="B1280">
        <v>4305</v>
      </c>
      <c r="C1280" t="s">
        <v>2595</v>
      </c>
      <c r="D1280" t="s">
        <v>135</v>
      </c>
      <c r="E1280" t="s">
        <v>521</v>
      </c>
      <c r="F1280" t="s">
        <v>2596</v>
      </c>
      <c r="G1280" t="str">
        <f>"00348137"</f>
        <v>00348137</v>
      </c>
      <c r="H1280" t="s">
        <v>552</v>
      </c>
      <c r="I1280">
        <v>0</v>
      </c>
      <c r="J1280">
        <v>0</v>
      </c>
      <c r="K1280">
        <v>0</v>
      </c>
      <c r="L1280">
        <v>0</v>
      </c>
      <c r="M1280">
        <v>100</v>
      </c>
      <c r="N1280">
        <v>30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84</v>
      </c>
      <c r="W1280">
        <v>588</v>
      </c>
      <c r="X1280">
        <v>0</v>
      </c>
      <c r="Z1280">
        <v>0</v>
      </c>
      <c r="AA1280">
        <v>0</v>
      </c>
      <c r="AB1280">
        <v>0</v>
      </c>
      <c r="AC1280">
        <v>0</v>
      </c>
      <c r="AD1280" t="s">
        <v>2597</v>
      </c>
    </row>
    <row r="1281" spans="1:30" x14ac:dyDescent="0.25">
      <c r="H1281" t="s">
        <v>2598</v>
      </c>
    </row>
    <row r="1282" spans="1:30" x14ac:dyDescent="0.25">
      <c r="A1282">
        <v>638</v>
      </c>
      <c r="B1282">
        <v>1445</v>
      </c>
      <c r="C1282" t="s">
        <v>2599</v>
      </c>
      <c r="D1282" t="s">
        <v>77</v>
      </c>
      <c r="E1282" t="s">
        <v>225</v>
      </c>
      <c r="F1282" t="s">
        <v>2600</v>
      </c>
      <c r="G1282" t="str">
        <f>"00318447"</f>
        <v>00318447</v>
      </c>
      <c r="H1282" t="s">
        <v>313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84</v>
      </c>
      <c r="W1282">
        <v>588</v>
      </c>
      <c r="X1282">
        <v>0</v>
      </c>
      <c r="Z1282">
        <v>0</v>
      </c>
      <c r="AA1282">
        <v>0</v>
      </c>
      <c r="AB1282">
        <v>0</v>
      </c>
      <c r="AC1282">
        <v>0</v>
      </c>
      <c r="AD1282" t="s">
        <v>2601</v>
      </c>
    </row>
    <row r="1283" spans="1:30" x14ac:dyDescent="0.25">
      <c r="H1283" t="s">
        <v>2602</v>
      </c>
    </row>
    <row r="1284" spans="1:30" x14ac:dyDescent="0.25">
      <c r="A1284">
        <v>639</v>
      </c>
      <c r="B1284">
        <v>2211</v>
      </c>
      <c r="C1284" t="s">
        <v>2442</v>
      </c>
      <c r="D1284" t="s">
        <v>225</v>
      </c>
      <c r="E1284" t="s">
        <v>135</v>
      </c>
      <c r="F1284" t="s">
        <v>2603</v>
      </c>
      <c r="G1284" t="str">
        <f>"00329175"</f>
        <v>00329175</v>
      </c>
      <c r="H1284">
        <v>550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30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70</v>
      </c>
      <c r="U1284">
        <v>0</v>
      </c>
      <c r="V1284">
        <v>60</v>
      </c>
      <c r="W1284">
        <v>420</v>
      </c>
      <c r="X1284">
        <v>0</v>
      </c>
      <c r="Z1284">
        <v>0</v>
      </c>
      <c r="AA1284">
        <v>0</v>
      </c>
      <c r="AB1284">
        <v>24</v>
      </c>
      <c r="AC1284">
        <v>408</v>
      </c>
      <c r="AD1284">
        <v>1478</v>
      </c>
    </row>
    <row r="1285" spans="1:30" x14ac:dyDescent="0.25">
      <c r="H1285" t="s">
        <v>2604</v>
      </c>
    </row>
    <row r="1286" spans="1:30" x14ac:dyDescent="0.25">
      <c r="A1286">
        <v>640</v>
      </c>
      <c r="B1286">
        <v>1994</v>
      </c>
      <c r="C1286" t="s">
        <v>2605</v>
      </c>
      <c r="D1286" t="s">
        <v>65</v>
      </c>
      <c r="E1286" t="s">
        <v>203</v>
      </c>
      <c r="F1286" t="s">
        <v>2606</v>
      </c>
      <c r="G1286" t="str">
        <f>"00330319"</f>
        <v>00330319</v>
      </c>
      <c r="H1286" t="s">
        <v>492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70</v>
      </c>
      <c r="O1286">
        <v>70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84</v>
      </c>
      <c r="W1286">
        <v>588</v>
      </c>
      <c r="X1286">
        <v>0</v>
      </c>
      <c r="Z1286">
        <v>0</v>
      </c>
      <c r="AA1286">
        <v>0</v>
      </c>
      <c r="AB1286">
        <v>0</v>
      </c>
      <c r="AC1286">
        <v>0</v>
      </c>
      <c r="AD1286" t="s">
        <v>2607</v>
      </c>
    </row>
    <row r="1287" spans="1:30" x14ac:dyDescent="0.25">
      <c r="H1287" t="s">
        <v>2608</v>
      </c>
    </row>
    <row r="1288" spans="1:30" x14ac:dyDescent="0.25">
      <c r="A1288">
        <v>641</v>
      </c>
      <c r="B1288">
        <v>925</v>
      </c>
      <c r="C1288" t="s">
        <v>2609</v>
      </c>
      <c r="D1288" t="s">
        <v>2610</v>
      </c>
      <c r="E1288" t="s">
        <v>135</v>
      </c>
      <c r="F1288" t="s">
        <v>2611</v>
      </c>
      <c r="G1288" t="str">
        <f>"00245085"</f>
        <v>00245085</v>
      </c>
      <c r="H1288" t="s">
        <v>154</v>
      </c>
      <c r="I1288">
        <v>0</v>
      </c>
      <c r="J1288">
        <v>0</v>
      </c>
      <c r="K1288">
        <v>0</v>
      </c>
      <c r="L1288">
        <v>200</v>
      </c>
      <c r="M1288">
        <v>0</v>
      </c>
      <c r="N1288">
        <v>30</v>
      </c>
      <c r="O1288">
        <v>0</v>
      </c>
      <c r="P1288">
        <v>50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43</v>
      </c>
      <c r="W1288">
        <v>301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2612</v>
      </c>
    </row>
    <row r="1289" spans="1:30" x14ac:dyDescent="0.25">
      <c r="H1289" t="s">
        <v>2613</v>
      </c>
    </row>
    <row r="1290" spans="1:30" x14ac:dyDescent="0.25">
      <c r="A1290">
        <v>642</v>
      </c>
      <c r="B1290">
        <v>2910</v>
      </c>
      <c r="C1290" t="s">
        <v>2614</v>
      </c>
      <c r="D1290" t="s">
        <v>1280</v>
      </c>
      <c r="E1290" t="s">
        <v>135</v>
      </c>
      <c r="F1290" t="s">
        <v>2615</v>
      </c>
      <c r="G1290" t="str">
        <f>"00294474"</f>
        <v>00294474</v>
      </c>
      <c r="H1290" t="s">
        <v>541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50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84</v>
      </c>
      <c r="W1290">
        <v>588</v>
      </c>
      <c r="X1290">
        <v>0</v>
      </c>
      <c r="Z1290">
        <v>0</v>
      </c>
      <c r="AA1290">
        <v>0</v>
      </c>
      <c r="AB1290">
        <v>0</v>
      </c>
      <c r="AC1290">
        <v>0</v>
      </c>
      <c r="AD1290" t="s">
        <v>2616</v>
      </c>
    </row>
    <row r="1291" spans="1:30" x14ac:dyDescent="0.25">
      <c r="H1291">
        <v>1078</v>
      </c>
    </row>
    <row r="1292" spans="1:30" x14ac:dyDescent="0.25">
      <c r="A1292">
        <v>643</v>
      </c>
      <c r="B1292">
        <v>1125</v>
      </c>
      <c r="C1292" t="s">
        <v>2617</v>
      </c>
      <c r="D1292" t="s">
        <v>2618</v>
      </c>
      <c r="E1292" t="s">
        <v>203</v>
      </c>
      <c r="F1292" t="s">
        <v>2619</v>
      </c>
      <c r="G1292" t="str">
        <f>"200801006744"</f>
        <v>200801006744</v>
      </c>
      <c r="H1292" t="s">
        <v>1742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71</v>
      </c>
      <c r="W1292">
        <v>497</v>
      </c>
      <c r="X1292">
        <v>0</v>
      </c>
      <c r="Z1292">
        <v>0</v>
      </c>
      <c r="AA1292">
        <v>0</v>
      </c>
      <c r="AB1292">
        <v>13</v>
      </c>
      <c r="AC1292">
        <v>221</v>
      </c>
      <c r="AD1292" t="s">
        <v>2620</v>
      </c>
    </row>
    <row r="1293" spans="1:30" x14ac:dyDescent="0.25">
      <c r="H1293" t="s">
        <v>2621</v>
      </c>
    </row>
    <row r="1294" spans="1:30" x14ac:dyDescent="0.25">
      <c r="A1294">
        <v>644</v>
      </c>
      <c r="B1294">
        <v>4094</v>
      </c>
      <c r="C1294" t="s">
        <v>2622</v>
      </c>
      <c r="D1294" t="s">
        <v>77</v>
      </c>
      <c r="E1294" t="s">
        <v>135</v>
      </c>
      <c r="F1294" t="s">
        <v>2623</v>
      </c>
      <c r="G1294" t="str">
        <f>"00336447"</f>
        <v>00336447</v>
      </c>
      <c r="H1294" t="s">
        <v>74</v>
      </c>
      <c r="I1294">
        <v>150</v>
      </c>
      <c r="J1294">
        <v>0</v>
      </c>
      <c r="K1294">
        <v>0</v>
      </c>
      <c r="L1294">
        <v>0</v>
      </c>
      <c r="M1294">
        <v>100</v>
      </c>
      <c r="N1294">
        <v>70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53</v>
      </c>
      <c r="W1294">
        <v>371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2624</v>
      </c>
    </row>
    <row r="1295" spans="1:30" x14ac:dyDescent="0.25">
      <c r="H1295">
        <v>1086</v>
      </c>
    </row>
    <row r="1296" spans="1:30" x14ac:dyDescent="0.25">
      <c r="A1296">
        <v>645</v>
      </c>
      <c r="B1296">
        <v>2126</v>
      </c>
      <c r="C1296" t="s">
        <v>2625</v>
      </c>
      <c r="D1296" t="s">
        <v>142</v>
      </c>
      <c r="E1296" t="s">
        <v>77</v>
      </c>
      <c r="F1296" t="s">
        <v>2626</v>
      </c>
      <c r="G1296" t="str">
        <f>"00016017"</f>
        <v>00016017</v>
      </c>
      <c r="H1296" t="s">
        <v>606</v>
      </c>
      <c r="I1296">
        <v>0</v>
      </c>
      <c r="J1296">
        <v>0</v>
      </c>
      <c r="K1296">
        <v>0</v>
      </c>
      <c r="L1296">
        <v>0</v>
      </c>
      <c r="M1296">
        <v>100</v>
      </c>
      <c r="N1296">
        <v>30</v>
      </c>
      <c r="O1296">
        <v>0</v>
      </c>
      <c r="P1296">
        <v>0</v>
      </c>
      <c r="Q1296">
        <v>30</v>
      </c>
      <c r="R1296">
        <v>0</v>
      </c>
      <c r="S1296">
        <v>0</v>
      </c>
      <c r="T1296">
        <v>0</v>
      </c>
      <c r="U1296">
        <v>0</v>
      </c>
      <c r="V1296">
        <v>84</v>
      </c>
      <c r="W1296">
        <v>588</v>
      </c>
      <c r="X1296">
        <v>0</v>
      </c>
      <c r="Z1296">
        <v>0</v>
      </c>
      <c r="AA1296">
        <v>0</v>
      </c>
      <c r="AB1296">
        <v>0</v>
      </c>
      <c r="AC1296">
        <v>0</v>
      </c>
      <c r="AD1296" t="s">
        <v>2627</v>
      </c>
    </row>
    <row r="1297" spans="1:30" x14ac:dyDescent="0.25">
      <c r="H1297" t="s">
        <v>2628</v>
      </c>
    </row>
    <row r="1298" spans="1:30" x14ac:dyDescent="0.25">
      <c r="A1298">
        <v>646</v>
      </c>
      <c r="B1298">
        <v>1712</v>
      </c>
      <c r="C1298" t="s">
        <v>2629</v>
      </c>
      <c r="D1298" t="s">
        <v>14</v>
      </c>
      <c r="E1298" t="s">
        <v>272</v>
      </c>
      <c r="F1298" t="s">
        <v>2630</v>
      </c>
      <c r="G1298" t="str">
        <f>"00145188"</f>
        <v>00145188</v>
      </c>
      <c r="H1298" t="s">
        <v>2631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30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60</v>
      </c>
      <c r="W1298">
        <v>420</v>
      </c>
      <c r="X1298">
        <v>0</v>
      </c>
      <c r="Z1298">
        <v>1</v>
      </c>
      <c r="AA1298">
        <v>0</v>
      </c>
      <c r="AB1298">
        <v>24</v>
      </c>
      <c r="AC1298">
        <v>408</v>
      </c>
      <c r="AD1298" t="s">
        <v>2632</v>
      </c>
    </row>
    <row r="1299" spans="1:30" x14ac:dyDescent="0.25">
      <c r="H1299" t="s">
        <v>2633</v>
      </c>
    </row>
    <row r="1300" spans="1:30" x14ac:dyDescent="0.25">
      <c r="A1300">
        <v>647</v>
      </c>
      <c r="B1300">
        <v>261</v>
      </c>
      <c r="C1300" t="s">
        <v>2634</v>
      </c>
      <c r="D1300" t="s">
        <v>59</v>
      </c>
      <c r="E1300" t="s">
        <v>352</v>
      </c>
      <c r="F1300" t="s">
        <v>2635</v>
      </c>
      <c r="G1300" t="str">
        <f>"00147972"</f>
        <v>00147972</v>
      </c>
      <c r="H1300">
        <v>715</v>
      </c>
      <c r="I1300">
        <v>0</v>
      </c>
      <c r="J1300">
        <v>0</v>
      </c>
      <c r="K1300">
        <v>0</v>
      </c>
      <c r="L1300">
        <v>260</v>
      </c>
      <c r="M1300">
        <v>0</v>
      </c>
      <c r="N1300">
        <v>70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60</v>
      </c>
      <c r="W1300">
        <v>420</v>
      </c>
      <c r="X1300">
        <v>0</v>
      </c>
      <c r="Z1300">
        <v>0</v>
      </c>
      <c r="AA1300">
        <v>0</v>
      </c>
      <c r="AB1300">
        <v>0</v>
      </c>
      <c r="AC1300">
        <v>0</v>
      </c>
      <c r="AD1300">
        <v>1465</v>
      </c>
    </row>
    <row r="1301" spans="1:30" x14ac:dyDescent="0.25">
      <c r="H1301" t="s">
        <v>1055</v>
      </c>
    </row>
    <row r="1302" spans="1:30" x14ac:dyDescent="0.25">
      <c r="A1302">
        <v>648</v>
      </c>
      <c r="B1302">
        <v>4064</v>
      </c>
      <c r="C1302" t="s">
        <v>2142</v>
      </c>
      <c r="D1302" t="s">
        <v>135</v>
      </c>
      <c r="E1302" t="s">
        <v>702</v>
      </c>
      <c r="F1302" t="s">
        <v>2143</v>
      </c>
      <c r="G1302" t="str">
        <f>"00362874"</f>
        <v>00362874</v>
      </c>
      <c r="H1302" t="s">
        <v>790</v>
      </c>
      <c r="I1302">
        <v>0</v>
      </c>
      <c r="J1302">
        <v>0</v>
      </c>
      <c r="K1302">
        <v>0</v>
      </c>
      <c r="L1302">
        <v>0</v>
      </c>
      <c r="M1302">
        <v>100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84</v>
      </c>
      <c r="W1302">
        <v>588</v>
      </c>
      <c r="X1302">
        <v>0</v>
      </c>
      <c r="Z1302">
        <v>0</v>
      </c>
      <c r="AA1302">
        <v>0</v>
      </c>
      <c r="AB1302">
        <v>0</v>
      </c>
      <c r="AC1302">
        <v>0</v>
      </c>
      <c r="AD1302" t="s">
        <v>2636</v>
      </c>
    </row>
    <row r="1303" spans="1:30" x14ac:dyDescent="0.25">
      <c r="H1303" t="s">
        <v>2145</v>
      </c>
    </row>
    <row r="1304" spans="1:30" x14ac:dyDescent="0.25">
      <c r="A1304">
        <v>649</v>
      </c>
      <c r="B1304">
        <v>1532</v>
      </c>
      <c r="C1304" t="s">
        <v>1048</v>
      </c>
      <c r="D1304" t="s">
        <v>408</v>
      </c>
      <c r="E1304" t="s">
        <v>1130</v>
      </c>
      <c r="F1304" t="s">
        <v>2637</v>
      </c>
      <c r="G1304" t="str">
        <f>"201511032547"</f>
        <v>201511032547</v>
      </c>
      <c r="H1304" t="s">
        <v>1215</v>
      </c>
      <c r="I1304">
        <v>0</v>
      </c>
      <c r="J1304">
        <v>0</v>
      </c>
      <c r="K1304">
        <v>0</v>
      </c>
      <c r="L1304">
        <v>200</v>
      </c>
      <c r="M1304">
        <v>0</v>
      </c>
      <c r="N1304">
        <v>70</v>
      </c>
      <c r="O1304">
        <v>0</v>
      </c>
      <c r="P1304">
        <v>30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X1304">
        <v>0</v>
      </c>
      <c r="Z1304">
        <v>0</v>
      </c>
      <c r="AA1304">
        <v>0</v>
      </c>
      <c r="AB1304">
        <v>16</v>
      </c>
      <c r="AC1304">
        <v>272</v>
      </c>
      <c r="AD1304" t="s">
        <v>2638</v>
      </c>
    </row>
    <row r="1305" spans="1:30" x14ac:dyDescent="0.25">
      <c r="H1305" t="s">
        <v>2639</v>
      </c>
    </row>
    <row r="1306" spans="1:30" x14ac:dyDescent="0.25">
      <c r="A1306">
        <v>650</v>
      </c>
      <c r="B1306">
        <v>1532</v>
      </c>
      <c r="C1306" t="s">
        <v>1048</v>
      </c>
      <c r="D1306" t="s">
        <v>408</v>
      </c>
      <c r="E1306" t="s">
        <v>1130</v>
      </c>
      <c r="F1306" t="s">
        <v>2637</v>
      </c>
      <c r="G1306" t="str">
        <f>"201511032547"</f>
        <v>201511032547</v>
      </c>
      <c r="H1306" t="s">
        <v>1215</v>
      </c>
      <c r="I1306">
        <v>0</v>
      </c>
      <c r="J1306">
        <v>0</v>
      </c>
      <c r="K1306">
        <v>0</v>
      </c>
      <c r="L1306">
        <v>200</v>
      </c>
      <c r="M1306">
        <v>0</v>
      </c>
      <c r="N1306">
        <v>70</v>
      </c>
      <c r="O1306">
        <v>0</v>
      </c>
      <c r="P1306">
        <v>30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W1306">
        <v>0</v>
      </c>
      <c r="X1306">
        <v>6</v>
      </c>
      <c r="Y1306">
        <v>1084</v>
      </c>
      <c r="Z1306">
        <v>0</v>
      </c>
      <c r="AA1306">
        <v>0</v>
      </c>
      <c r="AB1306">
        <v>16</v>
      </c>
      <c r="AC1306">
        <v>272</v>
      </c>
      <c r="AD1306" t="s">
        <v>2638</v>
      </c>
    </row>
    <row r="1307" spans="1:30" x14ac:dyDescent="0.25">
      <c r="H1307" t="s">
        <v>2639</v>
      </c>
    </row>
    <row r="1308" spans="1:30" x14ac:dyDescent="0.25">
      <c r="A1308">
        <v>651</v>
      </c>
      <c r="B1308">
        <v>5118</v>
      </c>
      <c r="C1308" t="s">
        <v>2640</v>
      </c>
      <c r="D1308" t="s">
        <v>389</v>
      </c>
      <c r="E1308" t="s">
        <v>2363</v>
      </c>
      <c r="F1308" t="s">
        <v>2641</v>
      </c>
      <c r="G1308" t="str">
        <f>"00347466"</f>
        <v>00347466</v>
      </c>
      <c r="H1308">
        <v>803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70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84</v>
      </c>
      <c r="W1308">
        <v>588</v>
      </c>
      <c r="X1308">
        <v>0</v>
      </c>
      <c r="Z1308">
        <v>0</v>
      </c>
      <c r="AA1308">
        <v>0</v>
      </c>
      <c r="AB1308">
        <v>0</v>
      </c>
      <c r="AC1308">
        <v>0</v>
      </c>
      <c r="AD1308">
        <v>1461</v>
      </c>
    </row>
    <row r="1309" spans="1:30" x14ac:dyDescent="0.25">
      <c r="H1309">
        <v>1091</v>
      </c>
    </row>
    <row r="1310" spans="1:30" x14ac:dyDescent="0.25">
      <c r="A1310">
        <v>652</v>
      </c>
      <c r="B1310">
        <v>4576</v>
      </c>
      <c r="C1310" t="s">
        <v>2642</v>
      </c>
      <c r="D1310" t="s">
        <v>135</v>
      </c>
      <c r="E1310" t="s">
        <v>28</v>
      </c>
      <c r="F1310" t="s">
        <v>2643</v>
      </c>
      <c r="G1310" t="str">
        <f>"200812000510"</f>
        <v>200812000510</v>
      </c>
      <c r="H1310" t="s">
        <v>2247</v>
      </c>
      <c r="I1310">
        <v>0</v>
      </c>
      <c r="J1310">
        <v>0</v>
      </c>
      <c r="K1310">
        <v>0</v>
      </c>
      <c r="L1310">
        <v>0</v>
      </c>
      <c r="M1310">
        <v>130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84</v>
      </c>
      <c r="W1310">
        <v>588</v>
      </c>
      <c r="X1310">
        <v>0</v>
      </c>
      <c r="Z1310">
        <v>0</v>
      </c>
      <c r="AA1310">
        <v>0</v>
      </c>
      <c r="AB1310">
        <v>0</v>
      </c>
      <c r="AC1310">
        <v>0</v>
      </c>
      <c r="AD1310" t="s">
        <v>2644</v>
      </c>
    </row>
    <row r="1311" spans="1:30" x14ac:dyDescent="0.25">
      <c r="H1311" t="s">
        <v>2645</v>
      </c>
    </row>
    <row r="1312" spans="1:30" x14ac:dyDescent="0.25">
      <c r="A1312">
        <v>653</v>
      </c>
      <c r="B1312">
        <v>3716</v>
      </c>
      <c r="C1312" t="s">
        <v>2646</v>
      </c>
      <c r="D1312" t="s">
        <v>58</v>
      </c>
      <c r="E1312" t="s">
        <v>28</v>
      </c>
      <c r="F1312" t="s">
        <v>2647</v>
      </c>
      <c r="G1312" t="str">
        <f>"00366795"</f>
        <v>00366795</v>
      </c>
      <c r="H1312" t="s">
        <v>348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50</v>
      </c>
      <c r="O1312">
        <v>0</v>
      </c>
      <c r="P1312">
        <v>70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84</v>
      </c>
      <c r="W1312">
        <v>588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2648</v>
      </c>
    </row>
    <row r="1313" spans="1:30" x14ac:dyDescent="0.25">
      <c r="H1313">
        <v>1089</v>
      </c>
    </row>
    <row r="1314" spans="1:30" x14ac:dyDescent="0.25">
      <c r="A1314">
        <v>654</v>
      </c>
      <c r="B1314">
        <v>5050</v>
      </c>
      <c r="C1314" t="s">
        <v>2649</v>
      </c>
      <c r="D1314" t="s">
        <v>59</v>
      </c>
      <c r="E1314" t="s">
        <v>35</v>
      </c>
      <c r="F1314" t="s">
        <v>2650</v>
      </c>
      <c r="G1314" t="str">
        <f>"00289669"</f>
        <v>00289669</v>
      </c>
      <c r="H1314" t="s">
        <v>2330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70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35</v>
      </c>
      <c r="W1314">
        <v>245</v>
      </c>
      <c r="X1314">
        <v>0</v>
      </c>
      <c r="Z1314">
        <v>0</v>
      </c>
      <c r="AA1314">
        <v>0</v>
      </c>
      <c r="AB1314">
        <v>24</v>
      </c>
      <c r="AC1314">
        <v>408</v>
      </c>
      <c r="AD1314" t="s">
        <v>2651</v>
      </c>
    </row>
    <row r="1315" spans="1:30" x14ac:dyDescent="0.25">
      <c r="H1315" t="s">
        <v>1735</v>
      </c>
    </row>
    <row r="1316" spans="1:30" x14ac:dyDescent="0.25">
      <c r="A1316">
        <v>655</v>
      </c>
      <c r="B1316">
        <v>5190</v>
      </c>
      <c r="C1316" t="s">
        <v>2652</v>
      </c>
      <c r="D1316" t="s">
        <v>731</v>
      </c>
      <c r="E1316" t="s">
        <v>28</v>
      </c>
      <c r="F1316" t="s">
        <v>2653</v>
      </c>
      <c r="G1316" t="str">
        <f>"00350604"</f>
        <v>00350604</v>
      </c>
      <c r="H1316" t="s">
        <v>891</v>
      </c>
      <c r="I1316">
        <v>0</v>
      </c>
      <c r="J1316">
        <v>0</v>
      </c>
      <c r="K1316">
        <v>0</v>
      </c>
      <c r="L1316">
        <v>0</v>
      </c>
      <c r="M1316">
        <v>100</v>
      </c>
      <c r="N1316">
        <v>50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84</v>
      </c>
      <c r="W1316">
        <v>588</v>
      </c>
      <c r="X1316">
        <v>0</v>
      </c>
      <c r="Z1316">
        <v>0</v>
      </c>
      <c r="AA1316">
        <v>0</v>
      </c>
      <c r="AB1316">
        <v>0</v>
      </c>
      <c r="AC1316">
        <v>0</v>
      </c>
      <c r="AD1316" t="s">
        <v>2654</v>
      </c>
    </row>
    <row r="1317" spans="1:30" x14ac:dyDescent="0.25">
      <c r="H1317" t="s">
        <v>2655</v>
      </c>
    </row>
    <row r="1318" spans="1:30" x14ac:dyDescent="0.25">
      <c r="A1318">
        <v>656</v>
      </c>
      <c r="B1318">
        <v>1741</v>
      </c>
      <c r="C1318" t="s">
        <v>2656</v>
      </c>
      <c r="D1318" t="s">
        <v>119</v>
      </c>
      <c r="E1318" t="s">
        <v>59</v>
      </c>
      <c r="F1318" t="s">
        <v>2657</v>
      </c>
      <c r="G1318" t="str">
        <f>"201601000156"</f>
        <v>201601000156</v>
      </c>
      <c r="H1318" t="s">
        <v>2658</v>
      </c>
      <c r="I1318">
        <v>0</v>
      </c>
      <c r="J1318">
        <v>0</v>
      </c>
      <c r="K1318">
        <v>0</v>
      </c>
      <c r="L1318">
        <v>200</v>
      </c>
      <c r="M1318">
        <v>0</v>
      </c>
      <c r="N1318">
        <v>30</v>
      </c>
      <c r="O1318">
        <v>30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69</v>
      </c>
      <c r="W1318">
        <v>483</v>
      </c>
      <c r="X1318">
        <v>0</v>
      </c>
      <c r="Z1318">
        <v>0</v>
      </c>
      <c r="AA1318">
        <v>0</v>
      </c>
      <c r="AB1318">
        <v>0</v>
      </c>
      <c r="AC1318">
        <v>0</v>
      </c>
      <c r="AD1318" t="s">
        <v>2659</v>
      </c>
    </row>
    <row r="1319" spans="1:30" x14ac:dyDescent="0.25">
      <c r="H1319" t="s">
        <v>2660</v>
      </c>
    </row>
    <row r="1320" spans="1:30" x14ac:dyDescent="0.25">
      <c r="A1320">
        <v>657</v>
      </c>
      <c r="B1320">
        <v>4284</v>
      </c>
      <c r="C1320" t="s">
        <v>2661</v>
      </c>
      <c r="D1320" t="s">
        <v>576</v>
      </c>
      <c r="E1320" t="s">
        <v>225</v>
      </c>
      <c r="F1320" t="s">
        <v>2662</v>
      </c>
      <c r="G1320" t="str">
        <f>"201506001448"</f>
        <v>201506001448</v>
      </c>
      <c r="H1320" t="s">
        <v>1769</v>
      </c>
      <c r="I1320">
        <v>150</v>
      </c>
      <c r="J1320">
        <v>0</v>
      </c>
      <c r="K1320">
        <v>0</v>
      </c>
      <c r="L1320">
        <v>0</v>
      </c>
      <c r="M1320">
        <v>0</v>
      </c>
      <c r="N1320">
        <v>70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52</v>
      </c>
      <c r="W1320">
        <v>364</v>
      </c>
      <c r="X1320">
        <v>0</v>
      </c>
      <c r="Z1320">
        <v>0</v>
      </c>
      <c r="AA1320">
        <v>0</v>
      </c>
      <c r="AB1320">
        <v>7</v>
      </c>
      <c r="AC1320">
        <v>119</v>
      </c>
      <c r="AD1320" t="s">
        <v>2663</v>
      </c>
    </row>
    <row r="1321" spans="1:30" x14ac:dyDescent="0.25">
      <c r="H1321" t="s">
        <v>2664</v>
      </c>
    </row>
    <row r="1322" spans="1:30" x14ac:dyDescent="0.25">
      <c r="A1322">
        <v>658</v>
      </c>
      <c r="B1322">
        <v>358</v>
      </c>
      <c r="C1322" t="s">
        <v>2665</v>
      </c>
      <c r="D1322" t="s">
        <v>89</v>
      </c>
      <c r="E1322" t="s">
        <v>2666</v>
      </c>
      <c r="F1322" t="s">
        <v>2667</v>
      </c>
      <c r="G1322" t="str">
        <f>"00163732"</f>
        <v>00163732</v>
      </c>
      <c r="H1322" t="s">
        <v>1050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70</v>
      </c>
      <c r="O1322">
        <v>30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84</v>
      </c>
      <c r="W1322">
        <v>588</v>
      </c>
      <c r="X1322">
        <v>6</v>
      </c>
      <c r="Y1322">
        <v>1084</v>
      </c>
      <c r="Z1322">
        <v>0</v>
      </c>
      <c r="AA1322">
        <v>0</v>
      </c>
      <c r="AB1322">
        <v>0</v>
      </c>
      <c r="AC1322">
        <v>0</v>
      </c>
      <c r="AD1322" t="s">
        <v>2668</v>
      </c>
    </row>
    <row r="1323" spans="1:30" x14ac:dyDescent="0.25">
      <c r="H1323">
        <v>1084</v>
      </c>
    </row>
    <row r="1324" spans="1:30" x14ac:dyDescent="0.25">
      <c r="A1324">
        <v>659</v>
      </c>
      <c r="B1324">
        <v>4046</v>
      </c>
      <c r="C1324" t="s">
        <v>2669</v>
      </c>
      <c r="D1324" t="s">
        <v>2670</v>
      </c>
      <c r="E1324" t="s">
        <v>28</v>
      </c>
      <c r="F1324" t="s">
        <v>2671</v>
      </c>
      <c r="G1324" t="str">
        <f>"201504001426"</f>
        <v>201504001426</v>
      </c>
      <c r="H1324" t="s">
        <v>244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70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84</v>
      </c>
      <c r="W1324">
        <v>588</v>
      </c>
      <c r="X1324">
        <v>0</v>
      </c>
      <c r="Z1324">
        <v>0</v>
      </c>
      <c r="AA1324">
        <v>0</v>
      </c>
      <c r="AB1324">
        <v>0</v>
      </c>
      <c r="AC1324">
        <v>0</v>
      </c>
      <c r="AD1324" t="s">
        <v>2672</v>
      </c>
    </row>
    <row r="1325" spans="1:30" x14ac:dyDescent="0.25">
      <c r="H1325" t="s">
        <v>2673</v>
      </c>
    </row>
    <row r="1326" spans="1:30" x14ac:dyDescent="0.25">
      <c r="A1326">
        <v>660</v>
      </c>
      <c r="B1326">
        <v>1971</v>
      </c>
      <c r="C1326" t="s">
        <v>1308</v>
      </c>
      <c r="D1326" t="s">
        <v>66</v>
      </c>
      <c r="E1326" t="s">
        <v>77</v>
      </c>
      <c r="F1326" t="s">
        <v>1309</v>
      </c>
      <c r="G1326" t="str">
        <f>"00324448"</f>
        <v>00324448</v>
      </c>
      <c r="H1326" t="s">
        <v>190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84</v>
      </c>
      <c r="W1326">
        <v>588</v>
      </c>
      <c r="X1326">
        <v>0</v>
      </c>
      <c r="Z1326">
        <v>0</v>
      </c>
      <c r="AA1326">
        <v>0</v>
      </c>
      <c r="AB1326">
        <v>0</v>
      </c>
      <c r="AC1326">
        <v>0</v>
      </c>
      <c r="AD1326" t="s">
        <v>2674</v>
      </c>
    </row>
    <row r="1327" spans="1:30" x14ac:dyDescent="0.25">
      <c r="H1327" t="s">
        <v>1311</v>
      </c>
    </row>
    <row r="1328" spans="1:30" x14ac:dyDescent="0.25">
      <c r="A1328">
        <v>661</v>
      </c>
      <c r="B1328">
        <v>4707</v>
      </c>
      <c r="C1328" t="s">
        <v>2675</v>
      </c>
      <c r="D1328" t="s">
        <v>1270</v>
      </c>
      <c r="E1328" t="s">
        <v>2406</v>
      </c>
      <c r="F1328" t="s">
        <v>2676</v>
      </c>
      <c r="G1328" t="str">
        <f>"00017308"</f>
        <v>00017308</v>
      </c>
      <c r="H1328">
        <v>836</v>
      </c>
      <c r="I1328">
        <v>0</v>
      </c>
      <c r="J1328">
        <v>0</v>
      </c>
      <c r="K1328">
        <v>0</v>
      </c>
      <c r="L1328">
        <v>200</v>
      </c>
      <c r="M1328">
        <v>0</v>
      </c>
      <c r="N1328">
        <v>70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20</v>
      </c>
      <c r="W1328">
        <v>140</v>
      </c>
      <c r="X1328">
        <v>0</v>
      </c>
      <c r="Z1328">
        <v>0</v>
      </c>
      <c r="AA1328">
        <v>0</v>
      </c>
      <c r="AB1328">
        <v>12</v>
      </c>
      <c r="AC1328">
        <v>204</v>
      </c>
      <c r="AD1328">
        <v>1450</v>
      </c>
    </row>
    <row r="1329" spans="1:30" x14ac:dyDescent="0.25">
      <c r="H1329" t="s">
        <v>2677</v>
      </c>
    </row>
    <row r="1330" spans="1:30" x14ac:dyDescent="0.25">
      <c r="A1330">
        <v>662</v>
      </c>
      <c r="B1330">
        <v>4479</v>
      </c>
      <c r="C1330" t="s">
        <v>2678</v>
      </c>
      <c r="D1330" t="s">
        <v>293</v>
      </c>
      <c r="E1330" t="s">
        <v>28</v>
      </c>
      <c r="F1330" t="s">
        <v>2679</v>
      </c>
      <c r="G1330" t="str">
        <f>"200812000343"</f>
        <v>200812000343</v>
      </c>
      <c r="H1330">
        <v>792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70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84</v>
      </c>
      <c r="W1330">
        <v>588</v>
      </c>
      <c r="X1330">
        <v>0</v>
      </c>
      <c r="Z1330">
        <v>0</v>
      </c>
      <c r="AA1330">
        <v>0</v>
      </c>
      <c r="AB1330">
        <v>0</v>
      </c>
      <c r="AC1330">
        <v>0</v>
      </c>
      <c r="AD1330">
        <v>1450</v>
      </c>
    </row>
    <row r="1331" spans="1:30" x14ac:dyDescent="0.25">
      <c r="H1331">
        <v>1086</v>
      </c>
    </row>
    <row r="1332" spans="1:30" x14ac:dyDescent="0.25">
      <c r="A1332">
        <v>663</v>
      </c>
      <c r="B1332">
        <v>1590</v>
      </c>
      <c r="C1332" t="s">
        <v>2680</v>
      </c>
      <c r="D1332" t="s">
        <v>35</v>
      </c>
      <c r="E1332" t="s">
        <v>408</v>
      </c>
      <c r="F1332" t="s">
        <v>2681</v>
      </c>
      <c r="G1332" t="str">
        <f>"201402006866"</f>
        <v>201402006866</v>
      </c>
      <c r="H1332" t="s">
        <v>986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70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84</v>
      </c>
      <c r="W1332">
        <v>588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2682</v>
      </c>
    </row>
    <row r="1333" spans="1:30" x14ac:dyDescent="0.25">
      <c r="H1333" t="s">
        <v>2683</v>
      </c>
    </row>
    <row r="1334" spans="1:30" x14ac:dyDescent="0.25">
      <c r="A1334">
        <v>664</v>
      </c>
      <c r="B1334">
        <v>4439</v>
      </c>
      <c r="C1334" t="s">
        <v>2684</v>
      </c>
      <c r="D1334" t="s">
        <v>125</v>
      </c>
      <c r="E1334" t="s">
        <v>59</v>
      </c>
      <c r="F1334" t="s">
        <v>2685</v>
      </c>
      <c r="G1334" t="str">
        <f>"00020152"</f>
        <v>00020152</v>
      </c>
      <c r="H1334" t="s">
        <v>1338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84</v>
      </c>
      <c r="W1334">
        <v>588</v>
      </c>
      <c r="X1334">
        <v>0</v>
      </c>
      <c r="Z1334">
        <v>0</v>
      </c>
      <c r="AA1334">
        <v>0</v>
      </c>
      <c r="AB1334">
        <v>0</v>
      </c>
      <c r="AC1334">
        <v>0</v>
      </c>
      <c r="AD1334" t="s">
        <v>2686</v>
      </c>
    </row>
    <row r="1335" spans="1:30" x14ac:dyDescent="0.25">
      <c r="H1335" t="s">
        <v>1091</v>
      </c>
    </row>
    <row r="1336" spans="1:30" x14ac:dyDescent="0.25">
      <c r="A1336">
        <v>665</v>
      </c>
      <c r="B1336">
        <v>3681</v>
      </c>
      <c r="C1336" t="s">
        <v>2687</v>
      </c>
      <c r="D1336" t="s">
        <v>2688</v>
      </c>
      <c r="E1336" t="s">
        <v>42</v>
      </c>
      <c r="F1336" t="s">
        <v>2689</v>
      </c>
      <c r="G1336" t="str">
        <f>"00367388"</f>
        <v>00367388</v>
      </c>
      <c r="H1336" t="s">
        <v>354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70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84</v>
      </c>
      <c r="W1336">
        <v>588</v>
      </c>
      <c r="X1336">
        <v>0</v>
      </c>
      <c r="Z1336">
        <v>0</v>
      </c>
      <c r="AA1336">
        <v>0</v>
      </c>
      <c r="AB1336">
        <v>0</v>
      </c>
      <c r="AC1336">
        <v>0</v>
      </c>
      <c r="AD1336" t="s">
        <v>2690</v>
      </c>
    </row>
    <row r="1337" spans="1:30" x14ac:dyDescent="0.25">
      <c r="H1337" t="s">
        <v>2691</v>
      </c>
    </row>
    <row r="1338" spans="1:30" x14ac:dyDescent="0.25">
      <c r="A1338">
        <v>666</v>
      </c>
      <c r="B1338">
        <v>3601</v>
      </c>
      <c r="C1338" t="s">
        <v>2692</v>
      </c>
      <c r="D1338" t="s">
        <v>89</v>
      </c>
      <c r="E1338" t="s">
        <v>28</v>
      </c>
      <c r="F1338" t="s">
        <v>2693</v>
      </c>
      <c r="G1338" t="str">
        <f>"00362709"</f>
        <v>00362709</v>
      </c>
      <c r="H1338" t="s">
        <v>354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70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84</v>
      </c>
      <c r="W1338">
        <v>588</v>
      </c>
      <c r="X1338">
        <v>0</v>
      </c>
      <c r="Z1338">
        <v>0</v>
      </c>
      <c r="AA1338">
        <v>0</v>
      </c>
      <c r="AB1338">
        <v>0</v>
      </c>
      <c r="AC1338">
        <v>0</v>
      </c>
      <c r="AD1338" t="s">
        <v>2690</v>
      </c>
    </row>
    <row r="1339" spans="1:30" x14ac:dyDescent="0.25">
      <c r="H1339">
        <v>1085</v>
      </c>
    </row>
    <row r="1340" spans="1:30" x14ac:dyDescent="0.25">
      <c r="A1340">
        <v>667</v>
      </c>
      <c r="B1340">
        <v>1912</v>
      </c>
      <c r="C1340" t="s">
        <v>1359</v>
      </c>
      <c r="D1340" t="s">
        <v>1360</v>
      </c>
      <c r="E1340" t="s">
        <v>1361</v>
      </c>
      <c r="F1340" t="s">
        <v>1362</v>
      </c>
      <c r="G1340" t="str">
        <f>"00032652"</f>
        <v>00032652</v>
      </c>
      <c r="H1340" t="s">
        <v>166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30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84</v>
      </c>
      <c r="W1340">
        <v>588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2694</v>
      </c>
    </row>
    <row r="1341" spans="1:30" x14ac:dyDescent="0.25">
      <c r="H1341" t="s">
        <v>1363</v>
      </c>
    </row>
    <row r="1342" spans="1:30" x14ac:dyDescent="0.25">
      <c r="A1342">
        <v>668</v>
      </c>
      <c r="B1342">
        <v>3586</v>
      </c>
      <c r="C1342" t="s">
        <v>2595</v>
      </c>
      <c r="D1342" t="s">
        <v>197</v>
      </c>
      <c r="E1342" t="s">
        <v>521</v>
      </c>
      <c r="F1342" t="s">
        <v>2695</v>
      </c>
      <c r="G1342" t="str">
        <f>"00365428"</f>
        <v>00365428</v>
      </c>
      <c r="H1342">
        <v>726</v>
      </c>
      <c r="I1342">
        <v>0</v>
      </c>
      <c r="J1342">
        <v>0</v>
      </c>
      <c r="K1342">
        <v>0</v>
      </c>
      <c r="L1342">
        <v>0</v>
      </c>
      <c r="M1342">
        <v>100</v>
      </c>
      <c r="N1342">
        <v>30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84</v>
      </c>
      <c r="W1342">
        <v>588</v>
      </c>
      <c r="X1342">
        <v>0</v>
      </c>
      <c r="Z1342">
        <v>0</v>
      </c>
      <c r="AA1342">
        <v>0</v>
      </c>
      <c r="AB1342">
        <v>0</v>
      </c>
      <c r="AC1342">
        <v>0</v>
      </c>
      <c r="AD1342">
        <v>1444</v>
      </c>
    </row>
    <row r="1343" spans="1:30" x14ac:dyDescent="0.25">
      <c r="H1343" t="s">
        <v>2696</v>
      </c>
    </row>
    <row r="1344" spans="1:30" x14ac:dyDescent="0.25">
      <c r="A1344">
        <v>669</v>
      </c>
      <c r="B1344">
        <v>2723</v>
      </c>
      <c r="C1344" t="s">
        <v>2697</v>
      </c>
      <c r="D1344" t="s">
        <v>14</v>
      </c>
      <c r="E1344" t="s">
        <v>702</v>
      </c>
      <c r="F1344" t="s">
        <v>2698</v>
      </c>
      <c r="G1344" t="str">
        <f>"201007000041"</f>
        <v>201007000041</v>
      </c>
      <c r="H1344" t="s">
        <v>541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50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84</v>
      </c>
      <c r="W1344">
        <v>588</v>
      </c>
      <c r="X1344">
        <v>0</v>
      </c>
      <c r="Z1344">
        <v>0</v>
      </c>
      <c r="AA1344">
        <v>0</v>
      </c>
      <c r="AB1344">
        <v>0</v>
      </c>
      <c r="AC1344">
        <v>0</v>
      </c>
      <c r="AD1344" t="s">
        <v>2699</v>
      </c>
    </row>
    <row r="1345" spans="1:30" x14ac:dyDescent="0.25">
      <c r="H1345">
        <v>1091</v>
      </c>
    </row>
    <row r="1346" spans="1:30" x14ac:dyDescent="0.25">
      <c r="A1346">
        <v>670</v>
      </c>
      <c r="B1346">
        <v>4868</v>
      </c>
      <c r="C1346" t="s">
        <v>2700</v>
      </c>
      <c r="D1346" t="s">
        <v>2701</v>
      </c>
      <c r="E1346" t="s">
        <v>174</v>
      </c>
      <c r="F1346" t="s">
        <v>2702</v>
      </c>
      <c r="G1346" t="str">
        <f>"201410012634"</f>
        <v>201410012634</v>
      </c>
      <c r="H1346" t="s">
        <v>79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70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84</v>
      </c>
      <c r="W1346">
        <v>588</v>
      </c>
      <c r="X1346">
        <v>0</v>
      </c>
      <c r="Z1346">
        <v>0</v>
      </c>
      <c r="AA1346">
        <v>0</v>
      </c>
      <c r="AB1346">
        <v>0</v>
      </c>
      <c r="AC1346">
        <v>0</v>
      </c>
      <c r="AD1346" t="s">
        <v>2703</v>
      </c>
    </row>
    <row r="1347" spans="1:30" x14ac:dyDescent="0.25">
      <c r="H1347" t="s">
        <v>2704</v>
      </c>
    </row>
    <row r="1348" spans="1:30" x14ac:dyDescent="0.25">
      <c r="A1348">
        <v>671</v>
      </c>
      <c r="B1348">
        <v>259</v>
      </c>
      <c r="C1348" t="s">
        <v>2705</v>
      </c>
      <c r="D1348" t="s">
        <v>1129</v>
      </c>
      <c r="E1348" t="s">
        <v>1361</v>
      </c>
      <c r="F1348" t="s">
        <v>2706</v>
      </c>
      <c r="G1348" t="str">
        <f>"00185742"</f>
        <v>00185742</v>
      </c>
      <c r="H1348" t="s">
        <v>802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76</v>
      </c>
      <c r="W1348">
        <v>532</v>
      </c>
      <c r="X1348">
        <v>0</v>
      </c>
      <c r="Z1348">
        <v>0</v>
      </c>
      <c r="AA1348">
        <v>0</v>
      </c>
      <c r="AB1348">
        <v>8</v>
      </c>
      <c r="AC1348">
        <v>136</v>
      </c>
      <c r="AD1348" t="s">
        <v>2707</v>
      </c>
    </row>
    <row r="1349" spans="1:30" x14ac:dyDescent="0.25">
      <c r="H1349">
        <v>1073</v>
      </c>
    </row>
    <row r="1350" spans="1:30" x14ac:dyDescent="0.25">
      <c r="A1350">
        <v>672</v>
      </c>
      <c r="B1350">
        <v>3047</v>
      </c>
      <c r="C1350" t="s">
        <v>2708</v>
      </c>
      <c r="D1350" t="s">
        <v>664</v>
      </c>
      <c r="E1350" t="s">
        <v>148</v>
      </c>
      <c r="F1350" t="s">
        <v>2709</v>
      </c>
      <c r="G1350" t="str">
        <f>"00362879"</f>
        <v>00362879</v>
      </c>
      <c r="H1350" t="s">
        <v>1390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84</v>
      </c>
      <c r="W1350">
        <v>588</v>
      </c>
      <c r="X1350">
        <v>0</v>
      </c>
      <c r="Z1350">
        <v>0</v>
      </c>
      <c r="AA1350">
        <v>0</v>
      </c>
      <c r="AB1350">
        <v>0</v>
      </c>
      <c r="AC1350">
        <v>0</v>
      </c>
      <c r="AD1350" t="s">
        <v>2710</v>
      </c>
    </row>
    <row r="1351" spans="1:30" x14ac:dyDescent="0.25">
      <c r="H1351" t="s">
        <v>2711</v>
      </c>
    </row>
    <row r="1352" spans="1:30" x14ac:dyDescent="0.25">
      <c r="A1352">
        <v>673</v>
      </c>
      <c r="B1352">
        <v>2641</v>
      </c>
      <c r="C1352" t="s">
        <v>2712</v>
      </c>
      <c r="D1352" t="s">
        <v>283</v>
      </c>
      <c r="E1352" t="s">
        <v>780</v>
      </c>
      <c r="F1352" t="s">
        <v>2713</v>
      </c>
      <c r="G1352" t="str">
        <f>"200801008151"</f>
        <v>200801008151</v>
      </c>
      <c r="H1352" t="s">
        <v>2714</v>
      </c>
      <c r="I1352">
        <v>0</v>
      </c>
      <c r="J1352">
        <v>0</v>
      </c>
      <c r="K1352">
        <v>0</v>
      </c>
      <c r="L1352">
        <v>0</v>
      </c>
      <c r="M1352">
        <v>100</v>
      </c>
      <c r="N1352">
        <v>70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84</v>
      </c>
      <c r="W1352">
        <v>588</v>
      </c>
      <c r="X1352">
        <v>0</v>
      </c>
      <c r="Z1352">
        <v>0</v>
      </c>
      <c r="AA1352">
        <v>0</v>
      </c>
      <c r="AB1352">
        <v>0</v>
      </c>
      <c r="AC1352">
        <v>0</v>
      </c>
      <c r="AD1352" t="s">
        <v>2715</v>
      </c>
    </row>
    <row r="1353" spans="1:30" x14ac:dyDescent="0.25">
      <c r="H1353" t="s">
        <v>2716</v>
      </c>
    </row>
    <row r="1354" spans="1:30" x14ac:dyDescent="0.25">
      <c r="A1354">
        <v>674</v>
      </c>
      <c r="B1354">
        <v>718</v>
      </c>
      <c r="C1354" t="s">
        <v>2717</v>
      </c>
      <c r="D1354" t="s">
        <v>1502</v>
      </c>
      <c r="E1354" t="s">
        <v>1361</v>
      </c>
      <c r="F1354" t="s">
        <v>2718</v>
      </c>
      <c r="G1354" t="str">
        <f>"00299144"</f>
        <v>00299144</v>
      </c>
      <c r="H1354" t="s">
        <v>61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30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84</v>
      </c>
      <c r="W1354">
        <v>588</v>
      </c>
      <c r="X1354">
        <v>0</v>
      </c>
      <c r="Z1354">
        <v>0</v>
      </c>
      <c r="AA1354">
        <v>0</v>
      </c>
      <c r="AB1354">
        <v>0</v>
      </c>
      <c r="AC1354">
        <v>0</v>
      </c>
      <c r="AD1354" t="s">
        <v>2719</v>
      </c>
    </row>
    <row r="1355" spans="1:30" x14ac:dyDescent="0.25">
      <c r="H1355" t="s">
        <v>1350</v>
      </c>
    </row>
    <row r="1356" spans="1:30" x14ac:dyDescent="0.25">
      <c r="A1356">
        <v>675</v>
      </c>
      <c r="B1356">
        <v>3521</v>
      </c>
      <c r="C1356" t="s">
        <v>2720</v>
      </c>
      <c r="D1356" t="s">
        <v>1129</v>
      </c>
      <c r="E1356" t="s">
        <v>435</v>
      </c>
      <c r="F1356" t="s">
        <v>2721</v>
      </c>
      <c r="G1356" t="str">
        <f>"201412005825"</f>
        <v>201412005825</v>
      </c>
      <c r="H1356" t="s">
        <v>832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70</v>
      </c>
      <c r="O1356">
        <v>30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84</v>
      </c>
      <c r="W1356">
        <v>588</v>
      </c>
      <c r="X1356">
        <v>0</v>
      </c>
      <c r="Z1356">
        <v>0</v>
      </c>
      <c r="AA1356">
        <v>0</v>
      </c>
      <c r="AB1356">
        <v>0</v>
      </c>
      <c r="AC1356">
        <v>0</v>
      </c>
      <c r="AD1356" t="s">
        <v>2722</v>
      </c>
    </row>
    <row r="1357" spans="1:30" x14ac:dyDescent="0.25">
      <c r="H1357" t="s">
        <v>2723</v>
      </c>
    </row>
    <row r="1358" spans="1:30" x14ac:dyDescent="0.25">
      <c r="A1358">
        <v>676</v>
      </c>
      <c r="B1358">
        <v>964</v>
      </c>
      <c r="C1358" t="s">
        <v>2724</v>
      </c>
      <c r="D1358" t="s">
        <v>89</v>
      </c>
      <c r="E1358" t="s">
        <v>408</v>
      </c>
      <c r="F1358" t="s">
        <v>2725</v>
      </c>
      <c r="G1358" t="str">
        <f>"201504001319"</f>
        <v>201504001319</v>
      </c>
      <c r="H1358" t="s">
        <v>335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30</v>
      </c>
      <c r="O1358">
        <v>30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17</v>
      </c>
      <c r="W1358">
        <v>119</v>
      </c>
      <c r="X1358">
        <v>0</v>
      </c>
      <c r="Z1358">
        <v>0</v>
      </c>
      <c r="AA1358">
        <v>0</v>
      </c>
      <c r="AB1358">
        <v>24</v>
      </c>
      <c r="AC1358">
        <v>408</v>
      </c>
      <c r="AD1358" t="s">
        <v>2726</v>
      </c>
    </row>
    <row r="1359" spans="1:30" x14ac:dyDescent="0.25">
      <c r="H1359" t="s">
        <v>2727</v>
      </c>
    </row>
    <row r="1360" spans="1:30" x14ac:dyDescent="0.25">
      <c r="A1360">
        <v>677</v>
      </c>
      <c r="B1360">
        <v>2885</v>
      </c>
      <c r="C1360" t="s">
        <v>2728</v>
      </c>
      <c r="D1360" t="s">
        <v>42</v>
      </c>
      <c r="E1360" t="s">
        <v>77</v>
      </c>
      <c r="F1360" t="s">
        <v>2729</v>
      </c>
      <c r="G1360" t="str">
        <f>"00342365"</f>
        <v>00342365</v>
      </c>
      <c r="H1360">
        <v>748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70</v>
      </c>
      <c r="O1360">
        <v>30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84</v>
      </c>
      <c r="W1360">
        <v>588</v>
      </c>
      <c r="X1360">
        <v>0</v>
      </c>
      <c r="Z1360">
        <v>1</v>
      </c>
      <c r="AA1360">
        <v>0</v>
      </c>
      <c r="AB1360">
        <v>0</v>
      </c>
      <c r="AC1360">
        <v>0</v>
      </c>
      <c r="AD1360">
        <v>1436</v>
      </c>
    </row>
    <row r="1361" spans="1:30" x14ac:dyDescent="0.25">
      <c r="H1361" t="s">
        <v>2730</v>
      </c>
    </row>
    <row r="1362" spans="1:30" x14ac:dyDescent="0.25">
      <c r="A1362">
        <v>678</v>
      </c>
      <c r="B1362">
        <v>2592</v>
      </c>
      <c r="C1362" t="s">
        <v>2731</v>
      </c>
      <c r="D1362" t="s">
        <v>203</v>
      </c>
      <c r="E1362" t="s">
        <v>119</v>
      </c>
      <c r="F1362" t="s">
        <v>2732</v>
      </c>
      <c r="G1362" t="str">
        <f>"00369899"</f>
        <v>00369899</v>
      </c>
      <c r="H1362" t="s">
        <v>1872</v>
      </c>
      <c r="I1362">
        <v>0</v>
      </c>
      <c r="J1362">
        <v>0</v>
      </c>
      <c r="K1362">
        <v>0</v>
      </c>
      <c r="L1362">
        <v>0</v>
      </c>
      <c r="M1362">
        <v>100</v>
      </c>
      <c r="N1362">
        <v>30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84</v>
      </c>
      <c r="W1362">
        <v>588</v>
      </c>
      <c r="X1362">
        <v>0</v>
      </c>
      <c r="Z1362">
        <v>0</v>
      </c>
      <c r="AA1362">
        <v>0</v>
      </c>
      <c r="AB1362">
        <v>0</v>
      </c>
      <c r="AC1362">
        <v>0</v>
      </c>
      <c r="AD1362" t="s">
        <v>2733</v>
      </c>
    </row>
    <row r="1363" spans="1:30" x14ac:dyDescent="0.25">
      <c r="H1363" t="s">
        <v>2734</v>
      </c>
    </row>
    <row r="1364" spans="1:30" x14ac:dyDescent="0.25">
      <c r="A1364">
        <v>679</v>
      </c>
      <c r="B1364">
        <v>2547</v>
      </c>
      <c r="C1364" t="s">
        <v>2735</v>
      </c>
      <c r="D1364" t="s">
        <v>35</v>
      </c>
      <c r="E1364" t="s">
        <v>66</v>
      </c>
      <c r="F1364" t="s">
        <v>2736</v>
      </c>
      <c r="G1364" t="str">
        <f>"00276914"</f>
        <v>00276914</v>
      </c>
      <c r="H1364" t="s">
        <v>901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70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84</v>
      </c>
      <c r="W1364">
        <v>588</v>
      </c>
      <c r="X1364">
        <v>0</v>
      </c>
      <c r="Z1364">
        <v>0</v>
      </c>
      <c r="AA1364">
        <v>0</v>
      </c>
      <c r="AB1364">
        <v>0</v>
      </c>
      <c r="AC1364">
        <v>0</v>
      </c>
      <c r="AD1364" t="s">
        <v>2737</v>
      </c>
    </row>
    <row r="1365" spans="1:30" x14ac:dyDescent="0.25">
      <c r="H1365" t="s">
        <v>2738</v>
      </c>
    </row>
    <row r="1366" spans="1:30" x14ac:dyDescent="0.25">
      <c r="A1366">
        <v>680</v>
      </c>
      <c r="B1366">
        <v>2038</v>
      </c>
      <c r="C1366" t="s">
        <v>2739</v>
      </c>
      <c r="D1366" t="s">
        <v>293</v>
      </c>
      <c r="E1366" t="s">
        <v>2740</v>
      </c>
      <c r="F1366" t="s">
        <v>2741</v>
      </c>
      <c r="G1366" t="str">
        <f>"00327604"</f>
        <v>00327604</v>
      </c>
      <c r="H1366" t="s">
        <v>244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50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84</v>
      </c>
      <c r="W1366">
        <v>588</v>
      </c>
      <c r="X1366">
        <v>0</v>
      </c>
      <c r="Z1366">
        <v>0</v>
      </c>
      <c r="AA1366">
        <v>0</v>
      </c>
      <c r="AB1366">
        <v>0</v>
      </c>
      <c r="AC1366">
        <v>0</v>
      </c>
      <c r="AD1366" t="s">
        <v>2742</v>
      </c>
    </row>
    <row r="1367" spans="1:30" x14ac:dyDescent="0.25">
      <c r="H1367" t="s">
        <v>2743</v>
      </c>
    </row>
    <row r="1368" spans="1:30" x14ac:dyDescent="0.25">
      <c r="A1368">
        <v>681</v>
      </c>
      <c r="B1368">
        <v>5319</v>
      </c>
      <c r="C1368" t="s">
        <v>1473</v>
      </c>
      <c r="D1368" t="s">
        <v>1474</v>
      </c>
      <c r="E1368" t="s">
        <v>77</v>
      </c>
      <c r="F1368" t="s">
        <v>1475</v>
      </c>
      <c r="G1368" t="str">
        <f>"200803000067"</f>
        <v>200803000067</v>
      </c>
      <c r="H1368">
        <v>814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84</v>
      </c>
      <c r="W1368">
        <v>588</v>
      </c>
      <c r="X1368">
        <v>0</v>
      </c>
      <c r="Z1368">
        <v>0</v>
      </c>
      <c r="AA1368">
        <v>0</v>
      </c>
      <c r="AB1368">
        <v>0</v>
      </c>
      <c r="AC1368">
        <v>0</v>
      </c>
      <c r="AD1368">
        <v>1432</v>
      </c>
    </row>
    <row r="1369" spans="1:30" x14ac:dyDescent="0.25">
      <c r="H1369" t="s">
        <v>1476</v>
      </c>
    </row>
    <row r="1370" spans="1:30" x14ac:dyDescent="0.25">
      <c r="A1370">
        <v>682</v>
      </c>
      <c r="B1370">
        <v>3488</v>
      </c>
      <c r="C1370" t="s">
        <v>2744</v>
      </c>
      <c r="D1370" t="s">
        <v>35</v>
      </c>
      <c r="E1370" t="s">
        <v>300</v>
      </c>
      <c r="F1370" t="s">
        <v>2745</v>
      </c>
      <c r="G1370" t="str">
        <f>"201504000244"</f>
        <v>201504000244</v>
      </c>
      <c r="H1370">
        <v>814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30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84</v>
      </c>
      <c r="W1370">
        <v>588</v>
      </c>
      <c r="X1370">
        <v>0</v>
      </c>
      <c r="Z1370">
        <v>0</v>
      </c>
      <c r="AA1370">
        <v>0</v>
      </c>
      <c r="AB1370">
        <v>0</v>
      </c>
      <c r="AC1370">
        <v>0</v>
      </c>
      <c r="AD1370">
        <v>1432</v>
      </c>
    </row>
    <row r="1371" spans="1:30" x14ac:dyDescent="0.25">
      <c r="H1371" t="s">
        <v>2746</v>
      </c>
    </row>
    <row r="1372" spans="1:30" x14ac:dyDescent="0.25">
      <c r="A1372">
        <v>683</v>
      </c>
      <c r="B1372">
        <v>776</v>
      </c>
      <c r="C1372" t="s">
        <v>2747</v>
      </c>
      <c r="D1372" t="s">
        <v>1894</v>
      </c>
      <c r="E1372" t="s">
        <v>77</v>
      </c>
      <c r="F1372" t="s">
        <v>2748</v>
      </c>
      <c r="G1372" t="str">
        <f>"201411001770"</f>
        <v>201411001770</v>
      </c>
      <c r="H1372">
        <v>704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70</v>
      </c>
      <c r="O1372">
        <v>70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84</v>
      </c>
      <c r="W1372">
        <v>588</v>
      </c>
      <c r="X1372">
        <v>0</v>
      </c>
      <c r="Z1372">
        <v>0</v>
      </c>
      <c r="AA1372">
        <v>0</v>
      </c>
      <c r="AB1372">
        <v>0</v>
      </c>
      <c r="AC1372">
        <v>0</v>
      </c>
      <c r="AD1372">
        <v>1432</v>
      </c>
    </row>
    <row r="1373" spans="1:30" x14ac:dyDescent="0.25">
      <c r="H1373" t="s">
        <v>2749</v>
      </c>
    </row>
    <row r="1374" spans="1:30" x14ac:dyDescent="0.25">
      <c r="A1374">
        <v>684</v>
      </c>
      <c r="B1374">
        <v>165</v>
      </c>
      <c r="C1374" t="s">
        <v>1713</v>
      </c>
      <c r="D1374" t="s">
        <v>213</v>
      </c>
      <c r="E1374" t="s">
        <v>59</v>
      </c>
      <c r="F1374" t="s">
        <v>2750</v>
      </c>
      <c r="G1374" t="str">
        <f>"00018982"</f>
        <v>00018982</v>
      </c>
      <c r="H1374" t="s">
        <v>17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70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84</v>
      </c>
      <c r="W1374">
        <v>588</v>
      </c>
      <c r="X1374">
        <v>0</v>
      </c>
      <c r="Z1374">
        <v>0</v>
      </c>
      <c r="AA1374">
        <v>0</v>
      </c>
      <c r="AB1374">
        <v>0</v>
      </c>
      <c r="AC1374">
        <v>0</v>
      </c>
      <c r="AD1374" t="s">
        <v>2751</v>
      </c>
    </row>
    <row r="1375" spans="1:30" x14ac:dyDescent="0.25">
      <c r="H1375" t="s">
        <v>2752</v>
      </c>
    </row>
    <row r="1376" spans="1:30" x14ac:dyDescent="0.25">
      <c r="A1376">
        <v>685</v>
      </c>
      <c r="B1376">
        <v>5001</v>
      </c>
      <c r="C1376" t="s">
        <v>2753</v>
      </c>
      <c r="D1376" t="s">
        <v>225</v>
      </c>
      <c r="E1376" t="s">
        <v>148</v>
      </c>
      <c r="F1376" t="s">
        <v>2754</v>
      </c>
      <c r="G1376" t="str">
        <f>"00018224"</f>
        <v>00018224</v>
      </c>
      <c r="H1376">
        <v>836</v>
      </c>
      <c r="I1376">
        <v>150</v>
      </c>
      <c r="J1376">
        <v>0</v>
      </c>
      <c r="K1376">
        <v>0</v>
      </c>
      <c r="L1376">
        <v>200</v>
      </c>
      <c r="M1376">
        <v>0</v>
      </c>
      <c r="N1376">
        <v>70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25</v>
      </c>
      <c r="W1376">
        <v>175</v>
      </c>
      <c r="X1376">
        <v>0</v>
      </c>
      <c r="Z1376">
        <v>0</v>
      </c>
      <c r="AA1376">
        <v>0</v>
      </c>
      <c r="AB1376">
        <v>0</v>
      </c>
      <c r="AC1376">
        <v>0</v>
      </c>
      <c r="AD1376">
        <v>1431</v>
      </c>
    </row>
    <row r="1377" spans="1:30" x14ac:dyDescent="0.25">
      <c r="H1377" t="s">
        <v>2755</v>
      </c>
    </row>
    <row r="1378" spans="1:30" x14ac:dyDescent="0.25">
      <c r="A1378">
        <v>686</v>
      </c>
      <c r="B1378">
        <v>4765</v>
      </c>
      <c r="C1378" t="s">
        <v>1485</v>
      </c>
      <c r="D1378" t="s">
        <v>77</v>
      </c>
      <c r="E1378" t="s">
        <v>135</v>
      </c>
      <c r="F1378" t="s">
        <v>1486</v>
      </c>
      <c r="G1378" t="str">
        <f>"00143552"</f>
        <v>00143552</v>
      </c>
      <c r="H1378" t="s">
        <v>761</v>
      </c>
      <c r="I1378">
        <v>0</v>
      </c>
      <c r="J1378">
        <v>0</v>
      </c>
      <c r="K1378">
        <v>0</v>
      </c>
      <c r="L1378">
        <v>200</v>
      </c>
      <c r="M1378">
        <v>0</v>
      </c>
      <c r="N1378">
        <v>30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64</v>
      </c>
      <c r="W1378">
        <v>448</v>
      </c>
      <c r="X1378">
        <v>0</v>
      </c>
      <c r="Z1378">
        <v>0</v>
      </c>
      <c r="AA1378">
        <v>0</v>
      </c>
      <c r="AB1378">
        <v>0</v>
      </c>
      <c r="AC1378">
        <v>0</v>
      </c>
      <c r="AD1378" t="s">
        <v>2756</v>
      </c>
    </row>
    <row r="1379" spans="1:30" x14ac:dyDescent="0.25">
      <c r="H1379" t="s">
        <v>1488</v>
      </c>
    </row>
    <row r="1380" spans="1:30" x14ac:dyDescent="0.25">
      <c r="A1380">
        <v>687</v>
      </c>
      <c r="B1380">
        <v>2213</v>
      </c>
      <c r="C1380" t="s">
        <v>2757</v>
      </c>
      <c r="D1380" t="s">
        <v>593</v>
      </c>
      <c r="E1380" t="s">
        <v>77</v>
      </c>
      <c r="F1380" t="s">
        <v>2758</v>
      </c>
      <c r="G1380" t="str">
        <f>"201504000573"</f>
        <v>201504000573</v>
      </c>
      <c r="H1380" t="s">
        <v>2759</v>
      </c>
      <c r="I1380">
        <v>0</v>
      </c>
      <c r="J1380">
        <v>0</v>
      </c>
      <c r="K1380">
        <v>0</v>
      </c>
      <c r="L1380">
        <v>0</v>
      </c>
      <c r="M1380">
        <v>100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84</v>
      </c>
      <c r="W1380">
        <v>588</v>
      </c>
      <c r="X1380">
        <v>0</v>
      </c>
      <c r="Z1380">
        <v>0</v>
      </c>
      <c r="AA1380">
        <v>0</v>
      </c>
      <c r="AB1380">
        <v>0</v>
      </c>
      <c r="AC1380">
        <v>0</v>
      </c>
      <c r="AD1380" t="s">
        <v>2760</v>
      </c>
    </row>
    <row r="1381" spans="1:30" x14ac:dyDescent="0.25">
      <c r="H1381" t="s">
        <v>2761</v>
      </c>
    </row>
    <row r="1382" spans="1:30" x14ac:dyDescent="0.25">
      <c r="A1382">
        <v>688</v>
      </c>
      <c r="B1382">
        <v>4165</v>
      </c>
      <c r="C1382" t="s">
        <v>2762</v>
      </c>
      <c r="D1382" t="s">
        <v>2763</v>
      </c>
      <c r="E1382" t="s">
        <v>135</v>
      </c>
      <c r="F1382" t="s">
        <v>2764</v>
      </c>
      <c r="G1382" t="str">
        <f>"00143907"</f>
        <v>00143907</v>
      </c>
      <c r="H1382" t="s">
        <v>1960</v>
      </c>
      <c r="I1382">
        <v>0</v>
      </c>
      <c r="J1382">
        <v>0</v>
      </c>
      <c r="K1382">
        <v>0</v>
      </c>
      <c r="L1382">
        <v>200</v>
      </c>
      <c r="M1382">
        <v>0</v>
      </c>
      <c r="N1382">
        <v>70</v>
      </c>
      <c r="O1382">
        <v>0</v>
      </c>
      <c r="P1382">
        <v>30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48</v>
      </c>
      <c r="W1382">
        <v>336</v>
      </c>
      <c r="X1382">
        <v>0</v>
      </c>
      <c r="Z1382">
        <v>0</v>
      </c>
      <c r="AA1382">
        <v>0</v>
      </c>
      <c r="AB1382">
        <v>4</v>
      </c>
      <c r="AC1382">
        <v>68</v>
      </c>
      <c r="AD1382" t="s">
        <v>2765</v>
      </c>
    </row>
    <row r="1383" spans="1:30" x14ac:dyDescent="0.25">
      <c r="H1383" t="s">
        <v>2766</v>
      </c>
    </row>
    <row r="1384" spans="1:30" x14ac:dyDescent="0.25">
      <c r="A1384">
        <v>689</v>
      </c>
      <c r="B1384">
        <v>5323</v>
      </c>
      <c r="C1384" t="s">
        <v>2767</v>
      </c>
      <c r="D1384" t="s">
        <v>14</v>
      </c>
      <c r="E1384" t="s">
        <v>1068</v>
      </c>
      <c r="F1384" t="s">
        <v>2768</v>
      </c>
      <c r="G1384" t="str">
        <f>"00084963"</f>
        <v>00084963</v>
      </c>
      <c r="H1384" t="s">
        <v>962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70</v>
      </c>
      <c r="O1384">
        <v>30</v>
      </c>
      <c r="P1384">
        <v>0</v>
      </c>
      <c r="Q1384">
        <v>50</v>
      </c>
      <c r="R1384">
        <v>0</v>
      </c>
      <c r="S1384">
        <v>0</v>
      </c>
      <c r="T1384">
        <v>0</v>
      </c>
      <c r="U1384">
        <v>0</v>
      </c>
      <c r="V1384">
        <v>78</v>
      </c>
      <c r="W1384">
        <v>546</v>
      </c>
      <c r="X1384">
        <v>0</v>
      </c>
      <c r="Z1384">
        <v>0</v>
      </c>
      <c r="AA1384">
        <v>0</v>
      </c>
      <c r="AB1384">
        <v>0</v>
      </c>
      <c r="AC1384">
        <v>0</v>
      </c>
      <c r="AD1384" t="s">
        <v>2769</v>
      </c>
    </row>
    <row r="1385" spans="1:30" x14ac:dyDescent="0.25">
      <c r="H1385" t="s">
        <v>2770</v>
      </c>
    </row>
    <row r="1386" spans="1:30" x14ac:dyDescent="0.25">
      <c r="A1386">
        <v>690</v>
      </c>
      <c r="B1386">
        <v>193</v>
      </c>
      <c r="C1386" t="s">
        <v>1713</v>
      </c>
      <c r="D1386" t="s">
        <v>637</v>
      </c>
      <c r="E1386" t="s">
        <v>702</v>
      </c>
      <c r="F1386" t="s">
        <v>2771</v>
      </c>
      <c r="G1386" t="str">
        <f>"00041868"</f>
        <v>00041868</v>
      </c>
      <c r="H1386" t="s">
        <v>651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84</v>
      </c>
      <c r="W1386">
        <v>588</v>
      </c>
      <c r="X1386">
        <v>0</v>
      </c>
      <c r="Z1386">
        <v>0</v>
      </c>
      <c r="AA1386">
        <v>0</v>
      </c>
      <c r="AB1386">
        <v>0</v>
      </c>
      <c r="AC1386">
        <v>0</v>
      </c>
      <c r="AD1386" t="s">
        <v>2772</v>
      </c>
    </row>
    <row r="1387" spans="1:30" x14ac:dyDescent="0.25">
      <c r="H1387">
        <v>1078</v>
      </c>
    </row>
    <row r="1388" spans="1:30" x14ac:dyDescent="0.25">
      <c r="A1388">
        <v>691</v>
      </c>
      <c r="B1388">
        <v>318</v>
      </c>
      <c r="C1388" t="s">
        <v>2773</v>
      </c>
      <c r="D1388" t="s">
        <v>2082</v>
      </c>
      <c r="E1388" t="s">
        <v>77</v>
      </c>
      <c r="F1388" t="s">
        <v>2774</v>
      </c>
      <c r="G1388" t="str">
        <f>"00215938"</f>
        <v>00215938</v>
      </c>
      <c r="H1388" t="s">
        <v>319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70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84</v>
      </c>
      <c r="W1388">
        <v>588</v>
      </c>
      <c r="X1388">
        <v>0</v>
      </c>
      <c r="Z1388">
        <v>0</v>
      </c>
      <c r="AA1388">
        <v>0</v>
      </c>
      <c r="AB1388">
        <v>0</v>
      </c>
      <c r="AC1388">
        <v>0</v>
      </c>
      <c r="AD1388" t="s">
        <v>2775</v>
      </c>
    </row>
    <row r="1389" spans="1:30" x14ac:dyDescent="0.25">
      <c r="H1389" t="s">
        <v>2776</v>
      </c>
    </row>
    <row r="1390" spans="1:30" x14ac:dyDescent="0.25">
      <c r="A1390">
        <v>692</v>
      </c>
      <c r="B1390">
        <v>4286</v>
      </c>
      <c r="C1390" t="s">
        <v>2777</v>
      </c>
      <c r="D1390" t="s">
        <v>135</v>
      </c>
      <c r="E1390" t="s">
        <v>66</v>
      </c>
      <c r="F1390" t="s">
        <v>2778</v>
      </c>
      <c r="G1390" t="str">
        <f>"00185436"</f>
        <v>00185436</v>
      </c>
      <c r="H1390">
        <v>825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30</v>
      </c>
      <c r="O1390">
        <v>30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77</v>
      </c>
      <c r="W1390">
        <v>539</v>
      </c>
      <c r="X1390">
        <v>0</v>
      </c>
      <c r="Z1390">
        <v>0</v>
      </c>
      <c r="AA1390">
        <v>0</v>
      </c>
      <c r="AB1390">
        <v>0</v>
      </c>
      <c r="AC1390">
        <v>0</v>
      </c>
      <c r="AD1390">
        <v>1424</v>
      </c>
    </row>
    <row r="1391" spans="1:30" x14ac:dyDescent="0.25">
      <c r="H1391" t="s">
        <v>2779</v>
      </c>
    </row>
    <row r="1392" spans="1:30" x14ac:dyDescent="0.25">
      <c r="A1392">
        <v>693</v>
      </c>
      <c r="B1392">
        <v>3607</v>
      </c>
      <c r="C1392" t="s">
        <v>2780</v>
      </c>
      <c r="D1392" t="s">
        <v>252</v>
      </c>
      <c r="E1392" t="s">
        <v>28</v>
      </c>
      <c r="F1392" t="s">
        <v>2781</v>
      </c>
      <c r="G1392" t="str">
        <f>"200801005304"</f>
        <v>200801005304</v>
      </c>
      <c r="H1392">
        <v>715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70</v>
      </c>
      <c r="O1392">
        <v>50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84</v>
      </c>
      <c r="W1392">
        <v>588</v>
      </c>
      <c r="X1392">
        <v>0</v>
      </c>
      <c r="Z1392">
        <v>0</v>
      </c>
      <c r="AA1392">
        <v>0</v>
      </c>
      <c r="AB1392">
        <v>0</v>
      </c>
      <c r="AC1392">
        <v>0</v>
      </c>
      <c r="AD1392">
        <v>1423</v>
      </c>
    </row>
    <row r="1393" spans="1:30" x14ac:dyDescent="0.25">
      <c r="H1393" t="s">
        <v>2782</v>
      </c>
    </row>
    <row r="1394" spans="1:30" x14ac:dyDescent="0.25">
      <c r="A1394">
        <v>694</v>
      </c>
      <c r="B1394">
        <v>58</v>
      </c>
      <c r="C1394" t="s">
        <v>2783</v>
      </c>
      <c r="D1394" t="s">
        <v>142</v>
      </c>
      <c r="E1394" t="s">
        <v>77</v>
      </c>
      <c r="F1394" t="s">
        <v>2784</v>
      </c>
      <c r="G1394" t="str">
        <f>"00240343"</f>
        <v>00240343</v>
      </c>
      <c r="H1394" t="s">
        <v>1107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30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84</v>
      </c>
      <c r="W1394">
        <v>588</v>
      </c>
      <c r="X1394">
        <v>0</v>
      </c>
      <c r="Z1394">
        <v>1</v>
      </c>
      <c r="AA1394">
        <v>0</v>
      </c>
      <c r="AB1394">
        <v>0</v>
      </c>
      <c r="AC1394">
        <v>0</v>
      </c>
      <c r="AD1394" t="s">
        <v>2785</v>
      </c>
    </row>
    <row r="1395" spans="1:30" x14ac:dyDescent="0.25">
      <c r="H1395" t="s">
        <v>2786</v>
      </c>
    </row>
    <row r="1396" spans="1:30" x14ac:dyDescent="0.25">
      <c r="A1396">
        <v>695</v>
      </c>
      <c r="B1396">
        <v>5339</v>
      </c>
      <c r="C1396" t="s">
        <v>2787</v>
      </c>
      <c r="D1396" t="s">
        <v>2788</v>
      </c>
      <c r="E1396" t="s">
        <v>408</v>
      </c>
      <c r="F1396" t="s">
        <v>2789</v>
      </c>
      <c r="G1396" t="str">
        <f>"00296284"</f>
        <v>00296284</v>
      </c>
      <c r="H1396" t="s">
        <v>1107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84</v>
      </c>
      <c r="W1396">
        <v>588</v>
      </c>
      <c r="X1396">
        <v>0</v>
      </c>
      <c r="Z1396">
        <v>0</v>
      </c>
      <c r="AA1396">
        <v>0</v>
      </c>
      <c r="AB1396">
        <v>0</v>
      </c>
      <c r="AC1396">
        <v>0</v>
      </c>
      <c r="AD1396" t="s">
        <v>2785</v>
      </c>
    </row>
    <row r="1397" spans="1:30" x14ac:dyDescent="0.25">
      <c r="H1397" t="s">
        <v>2790</v>
      </c>
    </row>
    <row r="1398" spans="1:30" x14ac:dyDescent="0.25">
      <c r="A1398">
        <v>696</v>
      </c>
      <c r="B1398">
        <v>4306</v>
      </c>
      <c r="C1398" t="s">
        <v>2791</v>
      </c>
      <c r="D1398" t="s">
        <v>213</v>
      </c>
      <c r="E1398" t="s">
        <v>1271</v>
      </c>
      <c r="F1398" t="s">
        <v>2792</v>
      </c>
      <c r="G1398" t="str">
        <f>"00292403"</f>
        <v>00292403</v>
      </c>
      <c r="H1398" t="s">
        <v>1907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70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84</v>
      </c>
      <c r="W1398">
        <v>588</v>
      </c>
      <c r="X1398">
        <v>0</v>
      </c>
      <c r="Z1398">
        <v>0</v>
      </c>
      <c r="AA1398">
        <v>0</v>
      </c>
      <c r="AB1398">
        <v>0</v>
      </c>
      <c r="AC1398">
        <v>0</v>
      </c>
      <c r="AD1398" t="s">
        <v>2793</v>
      </c>
    </row>
    <row r="1399" spans="1:30" x14ac:dyDescent="0.25">
      <c r="H1399" t="s">
        <v>2794</v>
      </c>
    </row>
    <row r="1400" spans="1:30" x14ac:dyDescent="0.25">
      <c r="A1400">
        <v>697</v>
      </c>
      <c r="B1400">
        <v>1114</v>
      </c>
      <c r="C1400" t="s">
        <v>2795</v>
      </c>
      <c r="D1400" t="s">
        <v>1405</v>
      </c>
      <c r="E1400" t="s">
        <v>135</v>
      </c>
      <c r="F1400" t="s">
        <v>2796</v>
      </c>
      <c r="G1400" t="str">
        <f>"201503000055"</f>
        <v>201503000055</v>
      </c>
      <c r="H1400" t="s">
        <v>671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30</v>
      </c>
      <c r="O1400">
        <v>0</v>
      </c>
      <c r="P1400">
        <v>0</v>
      </c>
      <c r="Q1400">
        <v>30</v>
      </c>
      <c r="R1400">
        <v>0</v>
      </c>
      <c r="S1400">
        <v>0</v>
      </c>
      <c r="T1400">
        <v>0</v>
      </c>
      <c r="U1400">
        <v>0</v>
      </c>
      <c r="V1400">
        <v>84</v>
      </c>
      <c r="W1400">
        <v>588</v>
      </c>
      <c r="X1400">
        <v>0</v>
      </c>
      <c r="Z1400">
        <v>0</v>
      </c>
      <c r="AA1400">
        <v>0</v>
      </c>
      <c r="AB1400">
        <v>0</v>
      </c>
      <c r="AC1400">
        <v>0</v>
      </c>
      <c r="AD1400" t="s">
        <v>2797</v>
      </c>
    </row>
    <row r="1401" spans="1:30" x14ac:dyDescent="0.25">
      <c r="H1401" t="s">
        <v>2798</v>
      </c>
    </row>
    <row r="1402" spans="1:30" x14ac:dyDescent="0.25">
      <c r="A1402">
        <v>698</v>
      </c>
      <c r="B1402">
        <v>5285</v>
      </c>
      <c r="C1402" t="s">
        <v>1604</v>
      </c>
      <c r="D1402" t="s">
        <v>28</v>
      </c>
      <c r="E1402" t="s">
        <v>225</v>
      </c>
      <c r="F1402" t="s">
        <v>1605</v>
      </c>
      <c r="G1402" t="str">
        <f>"201412006748"</f>
        <v>201412006748</v>
      </c>
      <c r="H1402" t="s">
        <v>737</v>
      </c>
      <c r="I1402">
        <v>0</v>
      </c>
      <c r="J1402">
        <v>0</v>
      </c>
      <c r="K1402">
        <v>0</v>
      </c>
      <c r="L1402">
        <v>200</v>
      </c>
      <c r="M1402">
        <v>0</v>
      </c>
      <c r="N1402">
        <v>50</v>
      </c>
      <c r="O1402">
        <v>30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57</v>
      </c>
      <c r="W1402">
        <v>399</v>
      </c>
      <c r="X1402">
        <v>0</v>
      </c>
      <c r="Z1402">
        <v>0</v>
      </c>
      <c r="AA1402">
        <v>0</v>
      </c>
      <c r="AB1402">
        <v>0</v>
      </c>
      <c r="AC1402">
        <v>0</v>
      </c>
      <c r="AD1402" t="s">
        <v>2799</v>
      </c>
    </row>
    <row r="1403" spans="1:30" x14ac:dyDescent="0.25">
      <c r="H1403" t="s">
        <v>1606</v>
      </c>
    </row>
    <row r="1404" spans="1:30" x14ac:dyDescent="0.25">
      <c r="A1404">
        <v>699</v>
      </c>
      <c r="B1404">
        <v>3213</v>
      </c>
      <c r="C1404" t="s">
        <v>2800</v>
      </c>
      <c r="D1404" t="s">
        <v>2801</v>
      </c>
      <c r="E1404" t="s">
        <v>780</v>
      </c>
      <c r="F1404" t="s">
        <v>2802</v>
      </c>
      <c r="G1404" t="str">
        <f>"00009000"</f>
        <v>00009000</v>
      </c>
      <c r="H1404">
        <v>880</v>
      </c>
      <c r="I1404">
        <v>0</v>
      </c>
      <c r="J1404">
        <v>0</v>
      </c>
      <c r="K1404">
        <v>0</v>
      </c>
      <c r="L1404">
        <v>200</v>
      </c>
      <c r="M1404">
        <v>0</v>
      </c>
      <c r="N1404">
        <v>70</v>
      </c>
      <c r="O1404">
        <v>0</v>
      </c>
      <c r="P1404">
        <v>30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34</v>
      </c>
      <c r="W1404">
        <v>238</v>
      </c>
      <c r="X1404">
        <v>0</v>
      </c>
      <c r="Z1404">
        <v>1</v>
      </c>
      <c r="AA1404">
        <v>0</v>
      </c>
      <c r="AB1404">
        <v>0</v>
      </c>
      <c r="AC1404">
        <v>0</v>
      </c>
      <c r="AD1404">
        <v>1418</v>
      </c>
    </row>
    <row r="1405" spans="1:30" x14ac:dyDescent="0.25">
      <c r="H1405" t="s">
        <v>2803</v>
      </c>
    </row>
    <row r="1406" spans="1:30" x14ac:dyDescent="0.25">
      <c r="A1406">
        <v>700</v>
      </c>
      <c r="B1406">
        <v>5067</v>
      </c>
      <c r="C1406" t="s">
        <v>2804</v>
      </c>
      <c r="D1406" t="s">
        <v>294</v>
      </c>
      <c r="E1406" t="s">
        <v>408</v>
      </c>
      <c r="F1406" t="s">
        <v>2805</v>
      </c>
      <c r="G1406" t="str">
        <f>"00303379"</f>
        <v>00303379</v>
      </c>
      <c r="H1406">
        <v>770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30</v>
      </c>
      <c r="O1406">
        <v>30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84</v>
      </c>
      <c r="W1406">
        <v>588</v>
      </c>
      <c r="X1406">
        <v>0</v>
      </c>
      <c r="Z1406">
        <v>0</v>
      </c>
      <c r="AA1406">
        <v>0</v>
      </c>
      <c r="AB1406">
        <v>0</v>
      </c>
      <c r="AC1406">
        <v>0</v>
      </c>
      <c r="AD1406">
        <v>1418</v>
      </c>
    </row>
    <row r="1407" spans="1:30" x14ac:dyDescent="0.25">
      <c r="H1407" t="s">
        <v>2806</v>
      </c>
    </row>
    <row r="1408" spans="1:30" x14ac:dyDescent="0.25">
      <c r="A1408">
        <v>701</v>
      </c>
      <c r="B1408">
        <v>5275</v>
      </c>
      <c r="C1408" t="s">
        <v>2807</v>
      </c>
      <c r="D1408" t="s">
        <v>1114</v>
      </c>
      <c r="E1408" t="s">
        <v>59</v>
      </c>
      <c r="F1408" t="s">
        <v>2808</v>
      </c>
      <c r="G1408" t="str">
        <f>"00369260"</f>
        <v>00369260</v>
      </c>
      <c r="H1408">
        <v>759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70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84</v>
      </c>
      <c r="W1408">
        <v>588</v>
      </c>
      <c r="X1408">
        <v>0</v>
      </c>
      <c r="Z1408">
        <v>1</v>
      </c>
      <c r="AA1408">
        <v>0</v>
      </c>
      <c r="AB1408">
        <v>0</v>
      </c>
      <c r="AC1408">
        <v>0</v>
      </c>
      <c r="AD1408">
        <v>1417</v>
      </c>
    </row>
    <row r="1409" spans="1:30" x14ac:dyDescent="0.25">
      <c r="H1409" t="s">
        <v>1610</v>
      </c>
    </row>
    <row r="1410" spans="1:30" x14ac:dyDescent="0.25">
      <c r="A1410">
        <v>702</v>
      </c>
      <c r="B1410">
        <v>1683</v>
      </c>
      <c r="C1410" t="s">
        <v>2809</v>
      </c>
      <c r="D1410" t="s">
        <v>379</v>
      </c>
      <c r="E1410" t="s">
        <v>294</v>
      </c>
      <c r="F1410" t="s">
        <v>2810</v>
      </c>
      <c r="G1410" t="str">
        <f>"00291735"</f>
        <v>00291735</v>
      </c>
      <c r="H1410" t="s">
        <v>871</v>
      </c>
      <c r="I1410">
        <v>0</v>
      </c>
      <c r="J1410">
        <v>0</v>
      </c>
      <c r="K1410">
        <v>0</v>
      </c>
      <c r="L1410">
        <v>0</v>
      </c>
      <c r="M1410">
        <v>100</v>
      </c>
      <c r="N1410">
        <v>30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84</v>
      </c>
      <c r="W1410">
        <v>588</v>
      </c>
      <c r="X1410">
        <v>0</v>
      </c>
      <c r="Z1410">
        <v>0</v>
      </c>
      <c r="AA1410">
        <v>0</v>
      </c>
      <c r="AB1410">
        <v>0</v>
      </c>
      <c r="AC1410">
        <v>0</v>
      </c>
      <c r="AD1410" t="s">
        <v>2811</v>
      </c>
    </row>
    <row r="1411" spans="1:30" x14ac:dyDescent="0.25">
      <c r="H1411" t="s">
        <v>2812</v>
      </c>
    </row>
    <row r="1412" spans="1:30" x14ac:dyDescent="0.25">
      <c r="A1412">
        <v>703</v>
      </c>
      <c r="B1412">
        <v>5347</v>
      </c>
      <c r="C1412" t="s">
        <v>2813</v>
      </c>
      <c r="D1412" t="s">
        <v>1129</v>
      </c>
      <c r="E1412" t="s">
        <v>300</v>
      </c>
      <c r="F1412" t="s">
        <v>2814</v>
      </c>
      <c r="G1412" t="str">
        <f>"00142183"</f>
        <v>00142183</v>
      </c>
      <c r="H1412" t="s">
        <v>375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70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84</v>
      </c>
      <c r="W1412">
        <v>588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2815</v>
      </c>
    </row>
    <row r="1413" spans="1:30" x14ac:dyDescent="0.25">
      <c r="H1413">
        <v>1073</v>
      </c>
    </row>
    <row r="1414" spans="1:30" x14ac:dyDescent="0.25">
      <c r="A1414">
        <v>704</v>
      </c>
      <c r="B1414">
        <v>4323</v>
      </c>
      <c r="C1414" t="s">
        <v>2816</v>
      </c>
      <c r="D1414" t="s">
        <v>35</v>
      </c>
      <c r="E1414" t="s">
        <v>15</v>
      </c>
      <c r="F1414" t="s">
        <v>2817</v>
      </c>
      <c r="G1414" t="str">
        <f>"00363611"</f>
        <v>00363611</v>
      </c>
      <c r="H1414" t="s">
        <v>227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70</v>
      </c>
      <c r="O1414">
        <v>0</v>
      </c>
      <c r="P1414">
        <v>50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77</v>
      </c>
      <c r="W1414">
        <v>539</v>
      </c>
      <c r="X1414">
        <v>0</v>
      </c>
      <c r="Z1414">
        <v>0</v>
      </c>
      <c r="AA1414">
        <v>0</v>
      </c>
      <c r="AB1414">
        <v>0</v>
      </c>
      <c r="AC1414">
        <v>0</v>
      </c>
      <c r="AD1414" t="s">
        <v>2818</v>
      </c>
    </row>
    <row r="1415" spans="1:30" x14ac:dyDescent="0.25">
      <c r="H1415" t="s">
        <v>2819</v>
      </c>
    </row>
    <row r="1416" spans="1:30" x14ac:dyDescent="0.25">
      <c r="A1416">
        <v>705</v>
      </c>
      <c r="B1416">
        <v>2795</v>
      </c>
      <c r="C1416" t="s">
        <v>2820</v>
      </c>
      <c r="D1416" t="s">
        <v>2821</v>
      </c>
      <c r="E1416" t="s">
        <v>77</v>
      </c>
      <c r="F1416" t="s">
        <v>2822</v>
      </c>
      <c r="G1416" t="str">
        <f>"00352858"</f>
        <v>00352858</v>
      </c>
      <c r="H1416" t="s">
        <v>115</v>
      </c>
      <c r="I1416">
        <v>0</v>
      </c>
      <c r="J1416">
        <v>0</v>
      </c>
      <c r="K1416">
        <v>0</v>
      </c>
      <c r="L1416">
        <v>0</v>
      </c>
      <c r="M1416">
        <v>100</v>
      </c>
      <c r="N1416">
        <v>70</v>
      </c>
      <c r="O1416">
        <v>30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55</v>
      </c>
      <c r="W1416">
        <v>385</v>
      </c>
      <c r="X1416">
        <v>0</v>
      </c>
      <c r="Z1416">
        <v>0</v>
      </c>
      <c r="AA1416">
        <v>0</v>
      </c>
      <c r="AB1416">
        <v>0</v>
      </c>
      <c r="AC1416">
        <v>0</v>
      </c>
      <c r="AD1416" t="s">
        <v>2823</v>
      </c>
    </row>
    <row r="1417" spans="1:30" x14ac:dyDescent="0.25">
      <c r="H1417" t="s">
        <v>2824</v>
      </c>
    </row>
    <row r="1418" spans="1:30" x14ac:dyDescent="0.25">
      <c r="A1418">
        <v>706</v>
      </c>
      <c r="B1418">
        <v>5119</v>
      </c>
      <c r="C1418" t="s">
        <v>2825</v>
      </c>
      <c r="D1418" t="s">
        <v>2826</v>
      </c>
      <c r="E1418" t="s">
        <v>59</v>
      </c>
      <c r="F1418" t="s">
        <v>2827</v>
      </c>
      <c r="G1418" t="str">
        <f>"00259268"</f>
        <v>00259268</v>
      </c>
      <c r="H1418" t="s">
        <v>761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70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84</v>
      </c>
      <c r="W1418">
        <v>588</v>
      </c>
      <c r="X1418">
        <v>0</v>
      </c>
      <c r="Z1418">
        <v>0</v>
      </c>
      <c r="AA1418">
        <v>0</v>
      </c>
      <c r="AB1418">
        <v>0</v>
      </c>
      <c r="AC1418">
        <v>0</v>
      </c>
      <c r="AD1418" t="s">
        <v>2828</v>
      </c>
    </row>
    <row r="1419" spans="1:30" x14ac:dyDescent="0.25">
      <c r="H1419" t="s">
        <v>2829</v>
      </c>
    </row>
    <row r="1420" spans="1:30" x14ac:dyDescent="0.25">
      <c r="A1420">
        <v>707</v>
      </c>
      <c r="B1420">
        <v>1965</v>
      </c>
      <c r="C1420" t="s">
        <v>2830</v>
      </c>
      <c r="D1420" t="s">
        <v>203</v>
      </c>
      <c r="E1420" t="s">
        <v>1640</v>
      </c>
      <c r="F1420" t="s">
        <v>2831</v>
      </c>
      <c r="G1420" t="str">
        <f>"00333786"</f>
        <v>00333786</v>
      </c>
      <c r="H1420">
        <v>792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30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84</v>
      </c>
      <c r="W1420">
        <v>588</v>
      </c>
      <c r="X1420">
        <v>0</v>
      </c>
      <c r="Z1420">
        <v>0</v>
      </c>
      <c r="AA1420">
        <v>0</v>
      </c>
      <c r="AB1420">
        <v>0</v>
      </c>
      <c r="AC1420">
        <v>0</v>
      </c>
      <c r="AD1420">
        <v>1410</v>
      </c>
    </row>
    <row r="1421" spans="1:30" x14ac:dyDescent="0.25">
      <c r="H1421" t="s">
        <v>2832</v>
      </c>
    </row>
    <row r="1422" spans="1:30" x14ac:dyDescent="0.25">
      <c r="A1422">
        <v>708</v>
      </c>
      <c r="B1422">
        <v>4676</v>
      </c>
      <c r="C1422" t="s">
        <v>2833</v>
      </c>
      <c r="D1422" t="s">
        <v>89</v>
      </c>
      <c r="E1422" t="s">
        <v>28</v>
      </c>
      <c r="F1422" t="s">
        <v>2834</v>
      </c>
      <c r="G1422" t="str">
        <f>"201409002581"</f>
        <v>201409002581</v>
      </c>
      <c r="H1422">
        <v>759</v>
      </c>
      <c r="I1422">
        <v>0</v>
      </c>
      <c r="J1422">
        <v>0</v>
      </c>
      <c r="K1422">
        <v>0</v>
      </c>
      <c r="L1422">
        <v>200</v>
      </c>
      <c r="M1422">
        <v>0</v>
      </c>
      <c r="N1422">
        <v>70</v>
      </c>
      <c r="O1422">
        <v>0</v>
      </c>
      <c r="P1422">
        <v>30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50</v>
      </c>
      <c r="W1422">
        <v>350</v>
      </c>
      <c r="X1422">
        <v>0</v>
      </c>
      <c r="Z1422">
        <v>0</v>
      </c>
      <c r="AA1422">
        <v>0</v>
      </c>
      <c r="AB1422">
        <v>0</v>
      </c>
      <c r="AC1422">
        <v>0</v>
      </c>
      <c r="AD1422">
        <v>1409</v>
      </c>
    </row>
    <row r="1423" spans="1:30" x14ac:dyDescent="0.25">
      <c r="H1423">
        <v>1076</v>
      </c>
    </row>
    <row r="1424" spans="1:30" x14ac:dyDescent="0.25">
      <c r="A1424">
        <v>709</v>
      </c>
      <c r="B1424">
        <v>608</v>
      </c>
      <c r="C1424" t="s">
        <v>2835</v>
      </c>
      <c r="D1424" t="s">
        <v>576</v>
      </c>
      <c r="E1424" t="s">
        <v>352</v>
      </c>
      <c r="F1424" t="s">
        <v>2836</v>
      </c>
      <c r="G1424" t="str">
        <f>"00301171"</f>
        <v>00301171</v>
      </c>
      <c r="H1424" t="s">
        <v>1784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30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84</v>
      </c>
      <c r="W1424">
        <v>588</v>
      </c>
      <c r="X1424">
        <v>0</v>
      </c>
      <c r="Z1424">
        <v>0</v>
      </c>
      <c r="AA1424">
        <v>0</v>
      </c>
      <c r="AB1424">
        <v>0</v>
      </c>
      <c r="AC1424">
        <v>0</v>
      </c>
      <c r="AD1424" t="s">
        <v>2837</v>
      </c>
    </row>
    <row r="1425" spans="1:30" x14ac:dyDescent="0.25">
      <c r="H1425" t="s">
        <v>2838</v>
      </c>
    </row>
    <row r="1426" spans="1:30" x14ac:dyDescent="0.25">
      <c r="A1426">
        <v>710</v>
      </c>
      <c r="B1426">
        <v>2995</v>
      </c>
      <c r="C1426" t="s">
        <v>2839</v>
      </c>
      <c r="D1426" t="s">
        <v>28</v>
      </c>
      <c r="E1426" t="s">
        <v>59</v>
      </c>
      <c r="F1426" t="s">
        <v>2840</v>
      </c>
      <c r="G1426" t="str">
        <f>"00215643"</f>
        <v>00215643</v>
      </c>
      <c r="H1426" t="s">
        <v>656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50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50</v>
      </c>
      <c r="U1426">
        <v>0</v>
      </c>
      <c r="V1426">
        <v>84</v>
      </c>
      <c r="W1426">
        <v>588</v>
      </c>
      <c r="X1426">
        <v>0</v>
      </c>
      <c r="Z1426">
        <v>0</v>
      </c>
      <c r="AA1426">
        <v>0</v>
      </c>
      <c r="AB1426">
        <v>0</v>
      </c>
      <c r="AC1426">
        <v>0</v>
      </c>
      <c r="AD1426" t="s">
        <v>2841</v>
      </c>
    </row>
    <row r="1427" spans="1:30" x14ac:dyDescent="0.25">
      <c r="H1427" t="s">
        <v>2842</v>
      </c>
    </row>
    <row r="1428" spans="1:30" x14ac:dyDescent="0.25">
      <c r="A1428">
        <v>711</v>
      </c>
      <c r="B1428">
        <v>501</v>
      </c>
      <c r="C1428" t="s">
        <v>134</v>
      </c>
      <c r="D1428" t="s">
        <v>59</v>
      </c>
      <c r="E1428" t="s">
        <v>203</v>
      </c>
      <c r="F1428" t="s">
        <v>2843</v>
      </c>
      <c r="G1428" t="str">
        <f>"00121460"</f>
        <v>00121460</v>
      </c>
      <c r="H1428" t="s">
        <v>656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70</v>
      </c>
      <c r="O1428">
        <v>30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84</v>
      </c>
      <c r="W1428">
        <v>588</v>
      </c>
      <c r="X1428">
        <v>0</v>
      </c>
      <c r="Z1428">
        <v>0</v>
      </c>
      <c r="AA1428">
        <v>0</v>
      </c>
      <c r="AB1428">
        <v>0</v>
      </c>
      <c r="AC1428">
        <v>0</v>
      </c>
      <c r="AD1428" t="s">
        <v>2841</v>
      </c>
    </row>
    <row r="1429" spans="1:30" x14ac:dyDescent="0.25">
      <c r="H1429">
        <v>1071</v>
      </c>
    </row>
    <row r="1430" spans="1:30" x14ac:dyDescent="0.25">
      <c r="A1430">
        <v>712</v>
      </c>
      <c r="B1430">
        <v>5371</v>
      </c>
      <c r="C1430" t="s">
        <v>2844</v>
      </c>
      <c r="D1430" t="s">
        <v>158</v>
      </c>
      <c r="E1430" t="s">
        <v>225</v>
      </c>
      <c r="F1430" t="s">
        <v>2845</v>
      </c>
      <c r="G1430" t="str">
        <f>"200801000572"</f>
        <v>200801000572</v>
      </c>
      <c r="H1430" t="s">
        <v>1370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50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84</v>
      </c>
      <c r="W1430">
        <v>588</v>
      </c>
      <c r="X1430">
        <v>0</v>
      </c>
      <c r="Z1430">
        <v>0</v>
      </c>
      <c r="AA1430">
        <v>0</v>
      </c>
      <c r="AB1430">
        <v>0</v>
      </c>
      <c r="AC1430">
        <v>0</v>
      </c>
      <c r="AD1430" t="s">
        <v>2846</v>
      </c>
    </row>
    <row r="1431" spans="1:30" x14ac:dyDescent="0.25">
      <c r="H1431" t="s">
        <v>2847</v>
      </c>
    </row>
    <row r="1432" spans="1:30" x14ac:dyDescent="0.25">
      <c r="A1432">
        <v>713</v>
      </c>
      <c r="B1432">
        <v>1806</v>
      </c>
      <c r="C1432" t="s">
        <v>2848</v>
      </c>
      <c r="D1432" t="s">
        <v>164</v>
      </c>
      <c r="E1432" t="s">
        <v>77</v>
      </c>
      <c r="F1432" t="s">
        <v>2849</v>
      </c>
      <c r="G1432" t="str">
        <f>"00322143"</f>
        <v>00322143</v>
      </c>
      <c r="H1432" t="s">
        <v>2518</v>
      </c>
      <c r="I1432">
        <v>0</v>
      </c>
      <c r="J1432">
        <v>0</v>
      </c>
      <c r="K1432">
        <v>0</v>
      </c>
      <c r="L1432">
        <v>0</v>
      </c>
      <c r="M1432">
        <v>100</v>
      </c>
      <c r="N1432">
        <v>70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84</v>
      </c>
      <c r="W1432">
        <v>588</v>
      </c>
      <c r="X1432">
        <v>0</v>
      </c>
      <c r="Z1432">
        <v>0</v>
      </c>
      <c r="AA1432">
        <v>0</v>
      </c>
      <c r="AB1432">
        <v>0</v>
      </c>
      <c r="AC1432">
        <v>0</v>
      </c>
      <c r="AD1432" t="s">
        <v>2850</v>
      </c>
    </row>
    <row r="1433" spans="1:30" x14ac:dyDescent="0.25">
      <c r="H1433">
        <v>1078</v>
      </c>
    </row>
    <row r="1434" spans="1:30" x14ac:dyDescent="0.25">
      <c r="A1434">
        <v>714</v>
      </c>
      <c r="B1434">
        <v>3918</v>
      </c>
      <c r="C1434" t="s">
        <v>2851</v>
      </c>
      <c r="D1434" t="s">
        <v>448</v>
      </c>
      <c r="E1434" t="s">
        <v>2852</v>
      </c>
      <c r="F1434" t="s">
        <v>2853</v>
      </c>
      <c r="G1434" t="str">
        <f>"00345412"</f>
        <v>00345412</v>
      </c>
      <c r="H1434" t="s">
        <v>414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30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84</v>
      </c>
      <c r="W1434">
        <v>588</v>
      </c>
      <c r="X1434">
        <v>0</v>
      </c>
      <c r="Z1434">
        <v>0</v>
      </c>
      <c r="AA1434">
        <v>0</v>
      </c>
      <c r="AB1434">
        <v>0</v>
      </c>
      <c r="AC1434">
        <v>0</v>
      </c>
      <c r="AD1434" t="s">
        <v>2854</v>
      </c>
    </row>
    <row r="1435" spans="1:30" x14ac:dyDescent="0.25">
      <c r="H1435" t="s">
        <v>2855</v>
      </c>
    </row>
    <row r="1436" spans="1:30" x14ac:dyDescent="0.25">
      <c r="A1436">
        <v>715</v>
      </c>
      <c r="B1436">
        <v>2548</v>
      </c>
      <c r="C1436" t="s">
        <v>2856</v>
      </c>
      <c r="D1436" t="s">
        <v>352</v>
      </c>
      <c r="E1436" t="s">
        <v>780</v>
      </c>
      <c r="F1436" t="s">
        <v>2857</v>
      </c>
      <c r="G1436" t="str">
        <f>"00119573"</f>
        <v>00119573</v>
      </c>
      <c r="H1436" t="s">
        <v>414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30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84</v>
      </c>
      <c r="W1436">
        <v>588</v>
      </c>
      <c r="X1436">
        <v>0</v>
      </c>
      <c r="Z1436">
        <v>0</v>
      </c>
      <c r="AA1436">
        <v>0</v>
      </c>
      <c r="AB1436">
        <v>0</v>
      </c>
      <c r="AC1436">
        <v>0</v>
      </c>
      <c r="AD1436" t="s">
        <v>2854</v>
      </c>
    </row>
    <row r="1437" spans="1:30" x14ac:dyDescent="0.25">
      <c r="H1437" t="s">
        <v>2858</v>
      </c>
    </row>
    <row r="1438" spans="1:30" x14ac:dyDescent="0.25">
      <c r="A1438">
        <v>716</v>
      </c>
      <c r="B1438">
        <v>1854</v>
      </c>
      <c r="C1438" t="s">
        <v>2859</v>
      </c>
      <c r="D1438" t="s">
        <v>2860</v>
      </c>
      <c r="E1438" t="s">
        <v>203</v>
      </c>
      <c r="F1438" t="s">
        <v>2861</v>
      </c>
      <c r="G1438" t="str">
        <f>"00224027"</f>
        <v>00224027</v>
      </c>
      <c r="H1438" t="s">
        <v>414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30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84</v>
      </c>
      <c r="W1438">
        <v>588</v>
      </c>
      <c r="X1438">
        <v>0</v>
      </c>
      <c r="Z1438">
        <v>0</v>
      </c>
      <c r="AA1438">
        <v>0</v>
      </c>
      <c r="AB1438">
        <v>0</v>
      </c>
      <c r="AC1438">
        <v>0</v>
      </c>
      <c r="AD1438" t="s">
        <v>2854</v>
      </c>
    </row>
    <row r="1439" spans="1:30" x14ac:dyDescent="0.25">
      <c r="H1439" t="s">
        <v>2862</v>
      </c>
    </row>
    <row r="1440" spans="1:30" x14ac:dyDescent="0.25">
      <c r="A1440">
        <v>717</v>
      </c>
      <c r="B1440">
        <v>1900</v>
      </c>
      <c r="C1440" t="s">
        <v>2863</v>
      </c>
      <c r="D1440" t="s">
        <v>89</v>
      </c>
      <c r="E1440" t="s">
        <v>352</v>
      </c>
      <c r="F1440" t="s">
        <v>2864</v>
      </c>
      <c r="G1440" t="str">
        <f>"00325072"</f>
        <v>00325072</v>
      </c>
      <c r="H1440" t="s">
        <v>221</v>
      </c>
      <c r="I1440">
        <v>0</v>
      </c>
      <c r="J1440">
        <v>0</v>
      </c>
      <c r="K1440">
        <v>0</v>
      </c>
      <c r="L1440">
        <v>200</v>
      </c>
      <c r="M1440">
        <v>0</v>
      </c>
      <c r="N1440">
        <v>30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51</v>
      </c>
      <c r="W1440">
        <v>357</v>
      </c>
      <c r="X1440">
        <v>0</v>
      </c>
      <c r="Z1440">
        <v>0</v>
      </c>
      <c r="AA1440">
        <v>0</v>
      </c>
      <c r="AB1440">
        <v>0</v>
      </c>
      <c r="AC1440">
        <v>0</v>
      </c>
      <c r="AD1440" t="s">
        <v>2865</v>
      </c>
    </row>
    <row r="1441" spans="1:30" x14ac:dyDescent="0.25">
      <c r="H1441" t="s">
        <v>2866</v>
      </c>
    </row>
    <row r="1442" spans="1:30" x14ac:dyDescent="0.25">
      <c r="A1442">
        <v>718</v>
      </c>
      <c r="B1442">
        <v>3647</v>
      </c>
      <c r="C1442" t="s">
        <v>2867</v>
      </c>
      <c r="D1442" t="s">
        <v>473</v>
      </c>
      <c r="E1442" t="s">
        <v>135</v>
      </c>
      <c r="F1442" t="s">
        <v>2868</v>
      </c>
      <c r="G1442" t="str">
        <f>"00340963"</f>
        <v>00340963</v>
      </c>
      <c r="H1442" t="s">
        <v>1146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72</v>
      </c>
      <c r="W1442">
        <v>504</v>
      </c>
      <c r="X1442">
        <v>0</v>
      </c>
      <c r="Z1442">
        <v>0</v>
      </c>
      <c r="AA1442">
        <v>0</v>
      </c>
      <c r="AB1442">
        <v>12</v>
      </c>
      <c r="AC1442">
        <v>204</v>
      </c>
      <c r="AD1442" t="s">
        <v>2865</v>
      </c>
    </row>
    <row r="1443" spans="1:30" x14ac:dyDescent="0.25">
      <c r="H1443" t="s">
        <v>2162</v>
      </c>
    </row>
    <row r="1444" spans="1:30" x14ac:dyDescent="0.25">
      <c r="A1444">
        <v>719</v>
      </c>
      <c r="B1444">
        <v>4949</v>
      </c>
      <c r="C1444" t="s">
        <v>2869</v>
      </c>
      <c r="D1444" t="s">
        <v>2870</v>
      </c>
      <c r="E1444" t="s">
        <v>225</v>
      </c>
      <c r="F1444" t="s">
        <v>2871</v>
      </c>
      <c r="G1444" t="str">
        <f>"00112060"</f>
        <v>00112060</v>
      </c>
      <c r="H1444" t="s">
        <v>752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30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84</v>
      </c>
      <c r="W1444">
        <v>588</v>
      </c>
      <c r="X1444">
        <v>0</v>
      </c>
      <c r="Z1444">
        <v>0</v>
      </c>
      <c r="AA1444">
        <v>0</v>
      </c>
      <c r="AB1444">
        <v>0</v>
      </c>
      <c r="AC1444">
        <v>0</v>
      </c>
      <c r="AD1444" t="s">
        <v>2872</v>
      </c>
    </row>
    <row r="1445" spans="1:30" x14ac:dyDescent="0.25">
      <c r="H1445" t="s">
        <v>2873</v>
      </c>
    </row>
    <row r="1446" spans="1:30" x14ac:dyDescent="0.25">
      <c r="A1446">
        <v>720</v>
      </c>
      <c r="B1446">
        <v>1163</v>
      </c>
      <c r="C1446" t="s">
        <v>2874</v>
      </c>
      <c r="D1446" t="s">
        <v>1732</v>
      </c>
      <c r="E1446" t="s">
        <v>42</v>
      </c>
      <c r="F1446" t="s">
        <v>2875</v>
      </c>
      <c r="G1446" t="str">
        <f>"00312529"</f>
        <v>00312529</v>
      </c>
      <c r="H1446" t="s">
        <v>752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30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84</v>
      </c>
      <c r="W1446">
        <v>588</v>
      </c>
      <c r="X1446">
        <v>0</v>
      </c>
      <c r="Z1446">
        <v>0</v>
      </c>
      <c r="AA1446">
        <v>0</v>
      </c>
      <c r="AB1446">
        <v>0</v>
      </c>
      <c r="AC1446">
        <v>0</v>
      </c>
      <c r="AD1446" t="s">
        <v>2872</v>
      </c>
    </row>
    <row r="1447" spans="1:30" x14ac:dyDescent="0.25">
      <c r="H1447" t="s">
        <v>2876</v>
      </c>
    </row>
    <row r="1448" spans="1:30" x14ac:dyDescent="0.25">
      <c r="A1448">
        <v>721</v>
      </c>
      <c r="B1448">
        <v>3789</v>
      </c>
      <c r="C1448" t="s">
        <v>2877</v>
      </c>
      <c r="D1448" t="s">
        <v>119</v>
      </c>
      <c r="E1448" t="s">
        <v>15</v>
      </c>
      <c r="F1448" t="s">
        <v>2878</v>
      </c>
      <c r="G1448" t="str">
        <f>"00334843"</f>
        <v>00334843</v>
      </c>
      <c r="H1448" t="s">
        <v>752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84</v>
      </c>
      <c r="W1448">
        <v>588</v>
      </c>
      <c r="X1448">
        <v>0</v>
      </c>
      <c r="Z1448">
        <v>0</v>
      </c>
      <c r="AA1448">
        <v>0</v>
      </c>
      <c r="AB1448">
        <v>0</v>
      </c>
      <c r="AC1448">
        <v>0</v>
      </c>
      <c r="AD1448" t="s">
        <v>2872</v>
      </c>
    </row>
    <row r="1449" spans="1:30" x14ac:dyDescent="0.25">
      <c r="H1449" t="s">
        <v>2879</v>
      </c>
    </row>
    <row r="1450" spans="1:30" x14ac:dyDescent="0.25">
      <c r="A1450">
        <v>722</v>
      </c>
      <c r="B1450">
        <v>167</v>
      </c>
      <c r="C1450" t="s">
        <v>2880</v>
      </c>
      <c r="D1450" t="s">
        <v>108</v>
      </c>
      <c r="E1450" t="s">
        <v>42</v>
      </c>
      <c r="F1450" t="s">
        <v>2881</v>
      </c>
      <c r="G1450" t="str">
        <f>"00027308"</f>
        <v>00027308</v>
      </c>
      <c r="H1450" t="s">
        <v>425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84</v>
      </c>
      <c r="W1450">
        <v>588</v>
      </c>
      <c r="X1450">
        <v>0</v>
      </c>
      <c r="Z1450">
        <v>0</v>
      </c>
      <c r="AA1450">
        <v>0</v>
      </c>
      <c r="AB1450">
        <v>0</v>
      </c>
      <c r="AC1450">
        <v>0</v>
      </c>
      <c r="AD1450" t="s">
        <v>2882</v>
      </c>
    </row>
    <row r="1451" spans="1:30" x14ac:dyDescent="0.25">
      <c r="H1451" t="s">
        <v>933</v>
      </c>
    </row>
    <row r="1452" spans="1:30" x14ac:dyDescent="0.25">
      <c r="A1452">
        <v>723</v>
      </c>
      <c r="B1452">
        <v>3293</v>
      </c>
      <c r="C1452" t="s">
        <v>2883</v>
      </c>
      <c r="D1452" t="s">
        <v>158</v>
      </c>
      <c r="E1452" t="s">
        <v>35</v>
      </c>
      <c r="F1452" t="s">
        <v>2884</v>
      </c>
      <c r="G1452" t="str">
        <f>"00285324"</f>
        <v>00285324</v>
      </c>
      <c r="H1452" t="s">
        <v>1504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84</v>
      </c>
      <c r="W1452">
        <v>588</v>
      </c>
      <c r="X1452">
        <v>0</v>
      </c>
      <c r="Z1452">
        <v>0</v>
      </c>
      <c r="AA1452">
        <v>0</v>
      </c>
      <c r="AB1452">
        <v>0</v>
      </c>
      <c r="AC1452">
        <v>0</v>
      </c>
      <c r="AD1452" t="s">
        <v>2885</v>
      </c>
    </row>
    <row r="1453" spans="1:30" x14ac:dyDescent="0.25">
      <c r="H1453" t="s">
        <v>933</v>
      </c>
    </row>
    <row r="1454" spans="1:30" x14ac:dyDescent="0.25">
      <c r="A1454">
        <v>724</v>
      </c>
      <c r="B1454">
        <v>4827</v>
      </c>
      <c r="C1454" t="s">
        <v>2886</v>
      </c>
      <c r="D1454" t="s">
        <v>170</v>
      </c>
      <c r="E1454" t="s">
        <v>28</v>
      </c>
      <c r="F1454" t="s">
        <v>2887</v>
      </c>
      <c r="G1454" t="str">
        <f>"201504001982"</f>
        <v>201504001982</v>
      </c>
      <c r="H1454" t="s">
        <v>74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84</v>
      </c>
      <c r="W1454">
        <v>588</v>
      </c>
      <c r="X1454">
        <v>0</v>
      </c>
      <c r="Z1454">
        <v>0</v>
      </c>
      <c r="AA1454">
        <v>0</v>
      </c>
      <c r="AB1454">
        <v>0</v>
      </c>
      <c r="AC1454">
        <v>0</v>
      </c>
      <c r="AD1454" t="s">
        <v>2888</v>
      </c>
    </row>
    <row r="1455" spans="1:30" x14ac:dyDescent="0.25">
      <c r="H1455" t="s">
        <v>2889</v>
      </c>
    </row>
    <row r="1456" spans="1:30" x14ac:dyDescent="0.25">
      <c r="A1456">
        <v>725</v>
      </c>
      <c r="B1456">
        <v>2659</v>
      </c>
      <c r="C1456" t="s">
        <v>2890</v>
      </c>
      <c r="D1456" t="s">
        <v>435</v>
      </c>
      <c r="E1456" t="s">
        <v>77</v>
      </c>
      <c r="F1456" t="s">
        <v>2891</v>
      </c>
      <c r="G1456" t="str">
        <f>"201511023507"</f>
        <v>201511023507</v>
      </c>
      <c r="H1456" t="s">
        <v>2892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70</v>
      </c>
      <c r="O1456">
        <v>0</v>
      </c>
      <c r="P1456">
        <v>50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84</v>
      </c>
      <c r="W1456">
        <v>588</v>
      </c>
      <c r="X1456">
        <v>0</v>
      </c>
      <c r="Z1456">
        <v>0</v>
      </c>
      <c r="AA1456">
        <v>0</v>
      </c>
      <c r="AB1456">
        <v>0</v>
      </c>
      <c r="AC1456">
        <v>0</v>
      </c>
      <c r="AD1456" t="s">
        <v>2893</v>
      </c>
    </row>
    <row r="1457" spans="1:30" x14ac:dyDescent="0.25">
      <c r="H1457" t="s">
        <v>2894</v>
      </c>
    </row>
    <row r="1458" spans="1:30" x14ac:dyDescent="0.25">
      <c r="A1458">
        <v>726</v>
      </c>
      <c r="B1458">
        <v>1352</v>
      </c>
      <c r="C1458" t="s">
        <v>2895</v>
      </c>
      <c r="D1458" t="s">
        <v>317</v>
      </c>
      <c r="E1458" t="s">
        <v>28</v>
      </c>
      <c r="F1458" t="s">
        <v>2896</v>
      </c>
      <c r="G1458" t="str">
        <f>"00146494"</f>
        <v>00146494</v>
      </c>
      <c r="H1458" t="s">
        <v>381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50</v>
      </c>
      <c r="O1458">
        <v>30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84</v>
      </c>
      <c r="W1458">
        <v>588</v>
      </c>
      <c r="X1458">
        <v>0</v>
      </c>
      <c r="Z1458">
        <v>0</v>
      </c>
      <c r="AA1458">
        <v>0</v>
      </c>
      <c r="AB1458">
        <v>0</v>
      </c>
      <c r="AC1458">
        <v>0</v>
      </c>
      <c r="AD1458" t="s">
        <v>2897</v>
      </c>
    </row>
    <row r="1459" spans="1:30" x14ac:dyDescent="0.25">
      <c r="H1459" t="s">
        <v>2898</v>
      </c>
    </row>
    <row r="1460" spans="1:30" x14ac:dyDescent="0.25">
      <c r="A1460">
        <v>727</v>
      </c>
      <c r="B1460">
        <v>246</v>
      </c>
      <c r="C1460" t="s">
        <v>2899</v>
      </c>
      <c r="D1460" t="s">
        <v>579</v>
      </c>
      <c r="E1460" t="s">
        <v>408</v>
      </c>
      <c r="F1460" t="s">
        <v>2900</v>
      </c>
      <c r="G1460" t="str">
        <f>"00244934"</f>
        <v>00244934</v>
      </c>
      <c r="H1460" t="s">
        <v>498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30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84</v>
      </c>
      <c r="W1460">
        <v>588</v>
      </c>
      <c r="X1460">
        <v>0</v>
      </c>
      <c r="Z1460">
        <v>0</v>
      </c>
      <c r="AA1460">
        <v>0</v>
      </c>
      <c r="AB1460">
        <v>0</v>
      </c>
      <c r="AC1460">
        <v>0</v>
      </c>
      <c r="AD1460" t="s">
        <v>2901</v>
      </c>
    </row>
    <row r="1461" spans="1:30" x14ac:dyDescent="0.25">
      <c r="H1461" t="s">
        <v>2902</v>
      </c>
    </row>
    <row r="1462" spans="1:30" x14ac:dyDescent="0.25">
      <c r="A1462">
        <v>728</v>
      </c>
      <c r="B1462">
        <v>246</v>
      </c>
      <c r="C1462" t="s">
        <v>2899</v>
      </c>
      <c r="D1462" t="s">
        <v>579</v>
      </c>
      <c r="E1462" t="s">
        <v>408</v>
      </c>
      <c r="F1462" t="s">
        <v>2900</v>
      </c>
      <c r="G1462" t="str">
        <f>"00244934"</f>
        <v>00244934</v>
      </c>
      <c r="H1462" t="s">
        <v>498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30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84</v>
      </c>
      <c r="W1462">
        <v>588</v>
      </c>
      <c r="X1462">
        <v>6</v>
      </c>
      <c r="Y1462">
        <v>1080</v>
      </c>
      <c r="Z1462">
        <v>0</v>
      </c>
      <c r="AA1462">
        <v>0</v>
      </c>
      <c r="AB1462">
        <v>0</v>
      </c>
      <c r="AC1462">
        <v>0</v>
      </c>
      <c r="AD1462" t="s">
        <v>2901</v>
      </c>
    </row>
    <row r="1463" spans="1:30" x14ac:dyDescent="0.25">
      <c r="H1463" t="s">
        <v>2902</v>
      </c>
    </row>
    <row r="1464" spans="1:30" x14ac:dyDescent="0.25">
      <c r="A1464">
        <v>729</v>
      </c>
      <c r="B1464">
        <v>4818</v>
      </c>
      <c r="C1464" t="s">
        <v>2548</v>
      </c>
      <c r="D1464" t="s">
        <v>252</v>
      </c>
      <c r="E1464" t="s">
        <v>253</v>
      </c>
      <c r="F1464" t="s">
        <v>2549</v>
      </c>
      <c r="G1464" t="str">
        <f>"00246740"</f>
        <v>00246740</v>
      </c>
      <c r="H1464" t="s">
        <v>498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84</v>
      </c>
      <c r="W1464">
        <v>588</v>
      </c>
      <c r="X1464">
        <v>0</v>
      </c>
      <c r="Z1464">
        <v>0</v>
      </c>
      <c r="AA1464">
        <v>0</v>
      </c>
      <c r="AB1464">
        <v>0</v>
      </c>
      <c r="AC1464">
        <v>0</v>
      </c>
      <c r="AD1464" t="s">
        <v>2901</v>
      </c>
    </row>
    <row r="1465" spans="1:30" x14ac:dyDescent="0.25">
      <c r="H1465" t="s">
        <v>2551</v>
      </c>
    </row>
    <row r="1466" spans="1:30" x14ac:dyDescent="0.25">
      <c r="A1466">
        <v>730</v>
      </c>
      <c r="B1466">
        <v>1976</v>
      </c>
      <c r="C1466" t="s">
        <v>1799</v>
      </c>
      <c r="D1466" t="s">
        <v>89</v>
      </c>
      <c r="E1466" t="s">
        <v>408</v>
      </c>
      <c r="F1466" t="s">
        <v>1800</v>
      </c>
      <c r="G1466" t="str">
        <f>"00282464"</f>
        <v>00282464</v>
      </c>
      <c r="H1466" t="s">
        <v>901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30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84</v>
      </c>
      <c r="W1466">
        <v>588</v>
      </c>
      <c r="X1466">
        <v>0</v>
      </c>
      <c r="Z1466">
        <v>0</v>
      </c>
      <c r="AA1466">
        <v>0</v>
      </c>
      <c r="AB1466">
        <v>0</v>
      </c>
      <c r="AC1466">
        <v>0</v>
      </c>
      <c r="AD1466" t="s">
        <v>2903</v>
      </c>
    </row>
    <row r="1467" spans="1:30" x14ac:dyDescent="0.25">
      <c r="H1467" t="s">
        <v>1801</v>
      </c>
    </row>
    <row r="1468" spans="1:30" x14ac:dyDescent="0.25">
      <c r="A1468">
        <v>731</v>
      </c>
      <c r="B1468">
        <v>2285</v>
      </c>
      <c r="C1468" t="s">
        <v>2904</v>
      </c>
      <c r="D1468" t="s">
        <v>225</v>
      </c>
      <c r="E1468" t="s">
        <v>2905</v>
      </c>
      <c r="F1468" t="s">
        <v>2906</v>
      </c>
      <c r="G1468" t="str">
        <f>"00343602"</f>
        <v>00343602</v>
      </c>
      <c r="H1468" t="s">
        <v>1059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30</v>
      </c>
      <c r="O1468">
        <v>30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84</v>
      </c>
      <c r="W1468">
        <v>588</v>
      </c>
      <c r="X1468">
        <v>0</v>
      </c>
      <c r="Z1468">
        <v>0</v>
      </c>
      <c r="AA1468">
        <v>0</v>
      </c>
      <c r="AB1468">
        <v>0</v>
      </c>
      <c r="AC1468">
        <v>0</v>
      </c>
      <c r="AD1468" t="s">
        <v>2907</v>
      </c>
    </row>
    <row r="1469" spans="1:30" x14ac:dyDescent="0.25">
      <c r="H1469" t="s">
        <v>2908</v>
      </c>
    </row>
    <row r="1470" spans="1:30" x14ac:dyDescent="0.25">
      <c r="A1470">
        <v>732</v>
      </c>
      <c r="B1470">
        <v>3901</v>
      </c>
      <c r="C1470" t="s">
        <v>2909</v>
      </c>
      <c r="D1470" t="s">
        <v>107</v>
      </c>
      <c r="E1470" t="s">
        <v>77</v>
      </c>
      <c r="F1470" t="s">
        <v>2910</v>
      </c>
      <c r="G1470" t="str">
        <f>"00336986"</f>
        <v>00336986</v>
      </c>
      <c r="H1470" t="s">
        <v>752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70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77</v>
      </c>
      <c r="W1470">
        <v>539</v>
      </c>
      <c r="X1470">
        <v>0</v>
      </c>
      <c r="Z1470">
        <v>0</v>
      </c>
      <c r="AA1470">
        <v>0</v>
      </c>
      <c r="AB1470">
        <v>0</v>
      </c>
      <c r="AC1470">
        <v>0</v>
      </c>
      <c r="AD1470" t="s">
        <v>2911</v>
      </c>
    </row>
    <row r="1471" spans="1:30" x14ac:dyDescent="0.25">
      <c r="H1471" t="s">
        <v>2912</v>
      </c>
    </row>
    <row r="1472" spans="1:30" x14ac:dyDescent="0.25">
      <c r="A1472">
        <v>733</v>
      </c>
      <c r="B1472">
        <v>2583</v>
      </c>
      <c r="C1472" t="s">
        <v>2913</v>
      </c>
      <c r="D1472" t="s">
        <v>539</v>
      </c>
      <c r="E1472" t="s">
        <v>42</v>
      </c>
      <c r="F1472" t="s">
        <v>2914</v>
      </c>
      <c r="G1472" t="str">
        <f>"201412006540"</f>
        <v>201412006540</v>
      </c>
      <c r="H1472" t="s">
        <v>2915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72</v>
      </c>
      <c r="W1472">
        <v>504</v>
      </c>
      <c r="X1472">
        <v>0</v>
      </c>
      <c r="Z1472">
        <v>0</v>
      </c>
      <c r="AA1472">
        <v>0</v>
      </c>
      <c r="AB1472">
        <v>12</v>
      </c>
      <c r="AC1472">
        <v>204</v>
      </c>
      <c r="AD1472" t="s">
        <v>2911</v>
      </c>
    </row>
    <row r="1473" spans="1:30" x14ac:dyDescent="0.25">
      <c r="H1473" t="s">
        <v>2916</v>
      </c>
    </row>
    <row r="1474" spans="1:30" x14ac:dyDescent="0.25">
      <c r="A1474">
        <v>734</v>
      </c>
      <c r="B1474">
        <v>3900</v>
      </c>
      <c r="C1474" t="s">
        <v>2476</v>
      </c>
      <c r="D1474" t="s">
        <v>164</v>
      </c>
      <c r="E1474" t="s">
        <v>225</v>
      </c>
      <c r="F1474" t="s">
        <v>2477</v>
      </c>
      <c r="G1474" t="str">
        <f>"00296450"</f>
        <v>00296450</v>
      </c>
      <c r="H1474" t="s">
        <v>1742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50</v>
      </c>
      <c r="O1474">
        <v>0</v>
      </c>
      <c r="P1474">
        <v>30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84</v>
      </c>
      <c r="W1474">
        <v>588</v>
      </c>
      <c r="X1474">
        <v>0</v>
      </c>
      <c r="Z1474">
        <v>0</v>
      </c>
      <c r="AA1474">
        <v>0</v>
      </c>
      <c r="AB1474">
        <v>0</v>
      </c>
      <c r="AC1474">
        <v>0</v>
      </c>
      <c r="AD1474" t="s">
        <v>2917</v>
      </c>
    </row>
    <row r="1475" spans="1:30" x14ac:dyDescent="0.25">
      <c r="H1475" t="s">
        <v>2479</v>
      </c>
    </row>
    <row r="1476" spans="1:30" x14ac:dyDescent="0.25">
      <c r="A1476">
        <v>735</v>
      </c>
      <c r="B1476">
        <v>4632</v>
      </c>
      <c r="C1476" t="s">
        <v>2918</v>
      </c>
      <c r="D1476" t="s">
        <v>152</v>
      </c>
      <c r="E1476" t="s">
        <v>2919</v>
      </c>
      <c r="F1476" t="s">
        <v>2920</v>
      </c>
      <c r="G1476" t="str">
        <f>"00323659"</f>
        <v>00323659</v>
      </c>
      <c r="H1476" t="s">
        <v>850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70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84</v>
      </c>
      <c r="W1476">
        <v>588</v>
      </c>
      <c r="X1476">
        <v>0</v>
      </c>
      <c r="Z1476">
        <v>0</v>
      </c>
      <c r="AA1476">
        <v>0</v>
      </c>
      <c r="AB1476">
        <v>0</v>
      </c>
      <c r="AC1476">
        <v>0</v>
      </c>
      <c r="AD1476" t="s">
        <v>2921</v>
      </c>
    </row>
    <row r="1477" spans="1:30" x14ac:dyDescent="0.25">
      <c r="H1477" t="s">
        <v>1124</v>
      </c>
    </row>
    <row r="1478" spans="1:30" x14ac:dyDescent="0.25">
      <c r="A1478">
        <v>736</v>
      </c>
      <c r="B1478">
        <v>4401</v>
      </c>
      <c r="C1478" t="s">
        <v>2563</v>
      </c>
      <c r="D1478" t="s">
        <v>135</v>
      </c>
      <c r="E1478" t="s">
        <v>203</v>
      </c>
      <c r="F1478" t="s">
        <v>2922</v>
      </c>
      <c r="G1478" t="str">
        <f>"00070457"</f>
        <v>00070457</v>
      </c>
      <c r="H1478" t="s">
        <v>17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84</v>
      </c>
      <c r="W1478">
        <v>588</v>
      </c>
      <c r="X1478">
        <v>0</v>
      </c>
      <c r="Z1478">
        <v>0</v>
      </c>
      <c r="AA1478">
        <v>0</v>
      </c>
      <c r="AB1478">
        <v>0</v>
      </c>
      <c r="AC1478">
        <v>0</v>
      </c>
      <c r="AD1478" t="s">
        <v>2923</v>
      </c>
    </row>
    <row r="1479" spans="1:30" x14ac:dyDescent="0.25">
      <c r="H1479" t="s">
        <v>2924</v>
      </c>
    </row>
    <row r="1480" spans="1:30" x14ac:dyDescent="0.25">
      <c r="A1480">
        <v>737</v>
      </c>
      <c r="B1480">
        <v>433</v>
      </c>
      <c r="C1480" t="s">
        <v>2925</v>
      </c>
      <c r="D1480" t="s">
        <v>2926</v>
      </c>
      <c r="E1480" t="s">
        <v>583</v>
      </c>
      <c r="F1480" t="s">
        <v>2927</v>
      </c>
      <c r="G1480" t="str">
        <f>"00217009"</f>
        <v>00217009</v>
      </c>
      <c r="H1480" t="s">
        <v>962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70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84</v>
      </c>
      <c r="W1480">
        <v>588</v>
      </c>
      <c r="X1480">
        <v>0</v>
      </c>
      <c r="Z1480">
        <v>0</v>
      </c>
      <c r="AA1480">
        <v>0</v>
      </c>
      <c r="AB1480">
        <v>0</v>
      </c>
      <c r="AC1480">
        <v>0</v>
      </c>
      <c r="AD1480" t="s">
        <v>2928</v>
      </c>
    </row>
    <row r="1481" spans="1:30" x14ac:dyDescent="0.25">
      <c r="H1481" t="s">
        <v>2929</v>
      </c>
    </row>
    <row r="1482" spans="1:30" x14ac:dyDescent="0.25">
      <c r="A1482">
        <v>738</v>
      </c>
      <c r="B1482">
        <v>4016</v>
      </c>
      <c r="C1482" t="s">
        <v>919</v>
      </c>
      <c r="D1482" t="s">
        <v>2930</v>
      </c>
      <c r="E1482" t="s">
        <v>203</v>
      </c>
      <c r="F1482" t="s">
        <v>2931</v>
      </c>
      <c r="G1482" t="str">
        <f>"00344244"</f>
        <v>00344244</v>
      </c>
      <c r="H1482" t="s">
        <v>329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30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84</v>
      </c>
      <c r="W1482">
        <v>588</v>
      </c>
      <c r="X1482">
        <v>0</v>
      </c>
      <c r="Z1482">
        <v>0</v>
      </c>
      <c r="AA1482">
        <v>0</v>
      </c>
      <c r="AB1482">
        <v>0</v>
      </c>
      <c r="AC1482">
        <v>0</v>
      </c>
      <c r="AD1482" t="s">
        <v>2932</v>
      </c>
    </row>
    <row r="1483" spans="1:30" x14ac:dyDescent="0.25">
      <c r="H1483" t="s">
        <v>2326</v>
      </c>
    </row>
    <row r="1484" spans="1:30" x14ac:dyDescent="0.25">
      <c r="A1484">
        <v>739</v>
      </c>
      <c r="B1484">
        <v>957</v>
      </c>
      <c r="C1484" t="s">
        <v>1447</v>
      </c>
      <c r="D1484" t="s">
        <v>357</v>
      </c>
      <c r="E1484" t="s">
        <v>225</v>
      </c>
      <c r="F1484" t="s">
        <v>2933</v>
      </c>
      <c r="G1484" t="str">
        <f>"201601000248"</f>
        <v>201601000248</v>
      </c>
      <c r="H1484" t="s">
        <v>381</v>
      </c>
      <c r="I1484">
        <v>0</v>
      </c>
      <c r="J1484">
        <v>0</v>
      </c>
      <c r="K1484">
        <v>0</v>
      </c>
      <c r="L1484">
        <v>0</v>
      </c>
      <c r="M1484">
        <v>100</v>
      </c>
      <c r="N1484">
        <v>30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76</v>
      </c>
      <c r="W1484">
        <v>532</v>
      </c>
      <c r="X1484">
        <v>0</v>
      </c>
      <c r="Z1484">
        <v>0</v>
      </c>
      <c r="AA1484">
        <v>0</v>
      </c>
      <c r="AB1484">
        <v>0</v>
      </c>
      <c r="AC1484">
        <v>0</v>
      </c>
      <c r="AD1484" t="s">
        <v>2932</v>
      </c>
    </row>
    <row r="1485" spans="1:30" x14ac:dyDescent="0.25">
      <c r="H1485" t="s">
        <v>2934</v>
      </c>
    </row>
    <row r="1486" spans="1:30" x14ac:dyDescent="0.25">
      <c r="A1486">
        <v>740</v>
      </c>
      <c r="B1486">
        <v>3132</v>
      </c>
      <c r="C1486" t="s">
        <v>2935</v>
      </c>
      <c r="D1486" t="s">
        <v>66</v>
      </c>
      <c r="E1486" t="s">
        <v>225</v>
      </c>
      <c r="F1486" t="s">
        <v>2936</v>
      </c>
      <c r="G1486" t="str">
        <f>"00009952"</f>
        <v>00009952</v>
      </c>
      <c r="H1486" t="s">
        <v>244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70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75</v>
      </c>
      <c r="W1486">
        <v>525</v>
      </c>
      <c r="X1486">
        <v>0</v>
      </c>
      <c r="Z1486">
        <v>0</v>
      </c>
      <c r="AA1486">
        <v>0</v>
      </c>
      <c r="AB1486">
        <v>0</v>
      </c>
      <c r="AC1486">
        <v>0</v>
      </c>
      <c r="AD1486" t="s">
        <v>2937</v>
      </c>
    </row>
    <row r="1487" spans="1:30" x14ac:dyDescent="0.25">
      <c r="H1487" t="s">
        <v>2938</v>
      </c>
    </row>
    <row r="1488" spans="1:30" x14ac:dyDescent="0.25">
      <c r="A1488">
        <v>741</v>
      </c>
      <c r="B1488">
        <v>3132</v>
      </c>
      <c r="C1488" t="s">
        <v>2935</v>
      </c>
      <c r="D1488" t="s">
        <v>66</v>
      </c>
      <c r="E1488" t="s">
        <v>225</v>
      </c>
      <c r="F1488" t="s">
        <v>2936</v>
      </c>
      <c r="G1488" t="str">
        <f>"00009952"</f>
        <v>00009952</v>
      </c>
      <c r="H1488" t="s">
        <v>244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70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75</v>
      </c>
      <c r="W1488">
        <v>525</v>
      </c>
      <c r="X1488">
        <v>6</v>
      </c>
      <c r="Y1488">
        <v>1084</v>
      </c>
      <c r="Z1488">
        <v>0</v>
      </c>
      <c r="AA1488">
        <v>0</v>
      </c>
      <c r="AB1488">
        <v>0</v>
      </c>
      <c r="AC1488">
        <v>0</v>
      </c>
      <c r="AD1488" t="s">
        <v>2937</v>
      </c>
    </row>
    <row r="1489" spans="1:30" x14ac:dyDescent="0.25">
      <c r="H1489" t="s">
        <v>2938</v>
      </c>
    </row>
    <row r="1490" spans="1:30" x14ac:dyDescent="0.25">
      <c r="A1490">
        <v>742</v>
      </c>
      <c r="B1490">
        <v>4510</v>
      </c>
      <c r="C1490" t="s">
        <v>2939</v>
      </c>
      <c r="D1490" t="s">
        <v>28</v>
      </c>
      <c r="E1490" t="s">
        <v>135</v>
      </c>
      <c r="F1490" t="s">
        <v>2940</v>
      </c>
      <c r="G1490" t="str">
        <f>"201409006605"</f>
        <v>201409006605</v>
      </c>
      <c r="H1490" t="s">
        <v>822</v>
      </c>
      <c r="I1490">
        <v>150</v>
      </c>
      <c r="J1490">
        <v>0</v>
      </c>
      <c r="K1490">
        <v>0</v>
      </c>
      <c r="L1490">
        <v>0</v>
      </c>
      <c r="M1490">
        <v>0</v>
      </c>
      <c r="N1490">
        <v>70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W1490">
        <v>0</v>
      </c>
      <c r="X1490">
        <v>0</v>
      </c>
      <c r="Z1490">
        <v>0</v>
      </c>
      <c r="AA1490">
        <v>0</v>
      </c>
      <c r="AB1490">
        <v>24</v>
      </c>
      <c r="AC1490">
        <v>408</v>
      </c>
      <c r="AD1490" t="s">
        <v>2941</v>
      </c>
    </row>
    <row r="1491" spans="1:30" x14ac:dyDescent="0.25">
      <c r="H1491" t="s">
        <v>2942</v>
      </c>
    </row>
    <row r="1492" spans="1:30" x14ac:dyDescent="0.25">
      <c r="A1492">
        <v>743</v>
      </c>
      <c r="B1492">
        <v>2939</v>
      </c>
      <c r="C1492" t="s">
        <v>1922</v>
      </c>
      <c r="D1492" t="s">
        <v>2943</v>
      </c>
      <c r="E1492" t="s">
        <v>2944</v>
      </c>
      <c r="F1492" t="s">
        <v>2945</v>
      </c>
      <c r="G1492" t="str">
        <f>"00250570"</f>
        <v>00250570</v>
      </c>
      <c r="H1492">
        <v>770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30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84</v>
      </c>
      <c r="W1492">
        <v>588</v>
      </c>
      <c r="X1492">
        <v>0</v>
      </c>
      <c r="Z1492">
        <v>0</v>
      </c>
      <c r="AA1492">
        <v>0</v>
      </c>
      <c r="AB1492">
        <v>0</v>
      </c>
      <c r="AC1492">
        <v>0</v>
      </c>
      <c r="AD1492">
        <v>1388</v>
      </c>
    </row>
    <row r="1493" spans="1:30" x14ac:dyDescent="0.25">
      <c r="H1493" t="s">
        <v>2946</v>
      </c>
    </row>
    <row r="1494" spans="1:30" x14ac:dyDescent="0.25">
      <c r="A1494">
        <v>744</v>
      </c>
      <c r="B1494">
        <v>4737</v>
      </c>
      <c r="C1494" t="s">
        <v>2947</v>
      </c>
      <c r="D1494" t="s">
        <v>272</v>
      </c>
      <c r="E1494" t="s">
        <v>42</v>
      </c>
      <c r="F1494" t="s">
        <v>2948</v>
      </c>
      <c r="G1494" t="str">
        <f>"00346573"</f>
        <v>00346573</v>
      </c>
      <c r="H1494">
        <v>770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30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84</v>
      </c>
      <c r="W1494">
        <v>588</v>
      </c>
      <c r="X1494">
        <v>0</v>
      </c>
      <c r="Z1494">
        <v>0</v>
      </c>
      <c r="AA1494">
        <v>0</v>
      </c>
      <c r="AB1494">
        <v>0</v>
      </c>
      <c r="AC1494">
        <v>0</v>
      </c>
      <c r="AD1494">
        <v>1388</v>
      </c>
    </row>
    <row r="1495" spans="1:30" x14ac:dyDescent="0.25">
      <c r="H1495">
        <v>1086</v>
      </c>
    </row>
    <row r="1496" spans="1:30" x14ac:dyDescent="0.25">
      <c r="A1496">
        <v>745</v>
      </c>
      <c r="B1496">
        <v>5096</v>
      </c>
      <c r="C1496" t="s">
        <v>2949</v>
      </c>
      <c r="D1496" t="s">
        <v>203</v>
      </c>
      <c r="E1496" t="s">
        <v>28</v>
      </c>
      <c r="F1496" t="s">
        <v>2950</v>
      </c>
      <c r="G1496" t="str">
        <f>"00038048"</f>
        <v>00038048</v>
      </c>
      <c r="H1496">
        <v>770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30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84</v>
      </c>
      <c r="W1496">
        <v>588</v>
      </c>
      <c r="X1496">
        <v>0</v>
      </c>
      <c r="Z1496">
        <v>0</v>
      </c>
      <c r="AA1496">
        <v>0</v>
      </c>
      <c r="AB1496">
        <v>0</v>
      </c>
      <c r="AC1496">
        <v>0</v>
      </c>
      <c r="AD1496">
        <v>1388</v>
      </c>
    </row>
    <row r="1497" spans="1:30" x14ac:dyDescent="0.25">
      <c r="H1497" t="s">
        <v>2951</v>
      </c>
    </row>
    <row r="1498" spans="1:30" x14ac:dyDescent="0.25">
      <c r="A1498">
        <v>746</v>
      </c>
      <c r="B1498">
        <v>2314</v>
      </c>
      <c r="C1498" t="s">
        <v>2442</v>
      </c>
      <c r="D1498" t="s">
        <v>203</v>
      </c>
      <c r="E1498" t="s">
        <v>35</v>
      </c>
      <c r="F1498" t="s">
        <v>2952</v>
      </c>
      <c r="G1498" t="str">
        <f>"201602000435"</f>
        <v>201602000435</v>
      </c>
      <c r="H1498" t="s">
        <v>862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70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84</v>
      </c>
      <c r="W1498">
        <v>588</v>
      </c>
      <c r="X1498">
        <v>0</v>
      </c>
      <c r="Z1498">
        <v>0</v>
      </c>
      <c r="AA1498">
        <v>0</v>
      </c>
      <c r="AB1498">
        <v>0</v>
      </c>
      <c r="AC1498">
        <v>0</v>
      </c>
      <c r="AD1498" t="s">
        <v>2953</v>
      </c>
    </row>
    <row r="1499" spans="1:30" x14ac:dyDescent="0.25">
      <c r="H1499">
        <v>1085</v>
      </c>
    </row>
    <row r="1500" spans="1:30" x14ac:dyDescent="0.25">
      <c r="A1500">
        <v>747</v>
      </c>
      <c r="B1500">
        <v>4238</v>
      </c>
      <c r="C1500" t="s">
        <v>2954</v>
      </c>
      <c r="D1500" t="s">
        <v>58</v>
      </c>
      <c r="E1500" t="s">
        <v>77</v>
      </c>
      <c r="F1500" t="s">
        <v>2955</v>
      </c>
      <c r="G1500" t="str">
        <f>"200808000215"</f>
        <v>200808000215</v>
      </c>
      <c r="H1500" t="s">
        <v>381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70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84</v>
      </c>
      <c r="W1500">
        <v>588</v>
      </c>
      <c r="X1500">
        <v>0</v>
      </c>
      <c r="Z1500">
        <v>0</v>
      </c>
      <c r="AA1500">
        <v>0</v>
      </c>
      <c r="AB1500">
        <v>0</v>
      </c>
      <c r="AC1500">
        <v>0</v>
      </c>
      <c r="AD1500" t="s">
        <v>2956</v>
      </c>
    </row>
    <row r="1501" spans="1:30" x14ac:dyDescent="0.25">
      <c r="H1501" t="s">
        <v>2957</v>
      </c>
    </row>
    <row r="1502" spans="1:30" x14ac:dyDescent="0.25">
      <c r="A1502">
        <v>748</v>
      </c>
      <c r="B1502">
        <v>4893</v>
      </c>
      <c r="C1502" t="s">
        <v>2958</v>
      </c>
      <c r="D1502" t="s">
        <v>357</v>
      </c>
      <c r="E1502" t="s">
        <v>42</v>
      </c>
      <c r="F1502" t="s">
        <v>2959</v>
      </c>
      <c r="G1502" t="str">
        <f>"00336162"</f>
        <v>00336162</v>
      </c>
      <c r="H1502" t="s">
        <v>2960</v>
      </c>
      <c r="I1502">
        <v>0</v>
      </c>
      <c r="J1502">
        <v>0</v>
      </c>
      <c r="K1502">
        <v>200</v>
      </c>
      <c r="L1502">
        <v>0</v>
      </c>
      <c r="M1502">
        <v>100</v>
      </c>
      <c r="N1502">
        <v>70</v>
      </c>
      <c r="O1502">
        <v>70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11</v>
      </c>
      <c r="W1502">
        <v>77</v>
      </c>
      <c r="X1502">
        <v>0</v>
      </c>
      <c r="Z1502">
        <v>0</v>
      </c>
      <c r="AA1502">
        <v>0</v>
      </c>
      <c r="AB1502">
        <v>0</v>
      </c>
      <c r="AC1502">
        <v>0</v>
      </c>
      <c r="AD1502" t="s">
        <v>2961</v>
      </c>
    </row>
    <row r="1503" spans="1:30" x14ac:dyDescent="0.25">
      <c r="H1503" t="s">
        <v>32</v>
      </c>
    </row>
    <row r="1504" spans="1:30" x14ac:dyDescent="0.25">
      <c r="A1504">
        <v>749</v>
      </c>
      <c r="B1504">
        <v>3008</v>
      </c>
      <c r="C1504" t="s">
        <v>1888</v>
      </c>
      <c r="D1504" t="s">
        <v>203</v>
      </c>
      <c r="E1504" t="s">
        <v>2962</v>
      </c>
      <c r="F1504" t="s">
        <v>2963</v>
      </c>
      <c r="G1504" t="str">
        <f>"00017323"</f>
        <v>00017323</v>
      </c>
      <c r="H1504" t="s">
        <v>1742</v>
      </c>
      <c r="I1504">
        <v>0</v>
      </c>
      <c r="J1504">
        <v>0</v>
      </c>
      <c r="K1504">
        <v>0</v>
      </c>
      <c r="L1504">
        <v>0</v>
      </c>
      <c r="M1504">
        <v>100</v>
      </c>
      <c r="N1504">
        <v>50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73</v>
      </c>
      <c r="W1504">
        <v>511</v>
      </c>
      <c r="X1504">
        <v>0</v>
      </c>
      <c r="Z1504">
        <v>0</v>
      </c>
      <c r="AA1504">
        <v>0</v>
      </c>
      <c r="AB1504">
        <v>0</v>
      </c>
      <c r="AC1504">
        <v>0</v>
      </c>
      <c r="AD1504" t="s">
        <v>2964</v>
      </c>
    </row>
    <row r="1505" spans="1:30" x14ac:dyDescent="0.25">
      <c r="H1505" t="s">
        <v>250</v>
      </c>
    </row>
    <row r="1506" spans="1:30" x14ac:dyDescent="0.25">
      <c r="A1506">
        <v>750</v>
      </c>
      <c r="B1506">
        <v>5017</v>
      </c>
      <c r="C1506" t="s">
        <v>2965</v>
      </c>
      <c r="D1506" t="s">
        <v>83</v>
      </c>
      <c r="E1506" t="s">
        <v>108</v>
      </c>
      <c r="F1506" t="s">
        <v>2966</v>
      </c>
      <c r="G1506" t="str">
        <f>"00322328"</f>
        <v>00322328</v>
      </c>
      <c r="H1506" t="s">
        <v>1370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30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84</v>
      </c>
      <c r="W1506">
        <v>588</v>
      </c>
      <c r="X1506">
        <v>6</v>
      </c>
      <c r="Y1506">
        <v>1080</v>
      </c>
      <c r="Z1506">
        <v>0</v>
      </c>
      <c r="AA1506">
        <v>0</v>
      </c>
      <c r="AB1506">
        <v>0</v>
      </c>
      <c r="AC1506">
        <v>0</v>
      </c>
      <c r="AD1506" t="s">
        <v>2967</v>
      </c>
    </row>
    <row r="1507" spans="1:30" x14ac:dyDescent="0.25">
      <c r="H1507">
        <v>1080</v>
      </c>
    </row>
    <row r="1508" spans="1:30" x14ac:dyDescent="0.25">
      <c r="A1508">
        <v>751</v>
      </c>
      <c r="B1508">
        <v>510</v>
      </c>
      <c r="C1508" t="s">
        <v>1875</v>
      </c>
      <c r="D1508" t="s">
        <v>77</v>
      </c>
      <c r="E1508" t="s">
        <v>408</v>
      </c>
      <c r="F1508" t="s">
        <v>1876</v>
      </c>
      <c r="G1508" t="str">
        <f>"201411001772"</f>
        <v>201411001772</v>
      </c>
      <c r="H1508">
        <v>726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70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84</v>
      </c>
      <c r="W1508">
        <v>588</v>
      </c>
      <c r="X1508">
        <v>0</v>
      </c>
      <c r="Z1508">
        <v>0</v>
      </c>
      <c r="AA1508">
        <v>0</v>
      </c>
      <c r="AB1508">
        <v>0</v>
      </c>
      <c r="AC1508">
        <v>0</v>
      </c>
      <c r="AD1508">
        <v>1384</v>
      </c>
    </row>
    <row r="1509" spans="1:30" x14ac:dyDescent="0.25">
      <c r="H1509" t="s">
        <v>1877</v>
      </c>
    </row>
    <row r="1510" spans="1:30" x14ac:dyDescent="0.25">
      <c r="A1510">
        <v>752</v>
      </c>
      <c r="B1510">
        <v>2244</v>
      </c>
      <c r="C1510" t="s">
        <v>2968</v>
      </c>
      <c r="D1510" t="s">
        <v>637</v>
      </c>
      <c r="E1510" t="s">
        <v>702</v>
      </c>
      <c r="F1510" t="s">
        <v>2969</v>
      </c>
      <c r="G1510" t="str">
        <f>"00004557"</f>
        <v>00004557</v>
      </c>
      <c r="H1510" t="s">
        <v>1050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30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84</v>
      </c>
      <c r="W1510">
        <v>588</v>
      </c>
      <c r="X1510">
        <v>0</v>
      </c>
      <c r="Z1510">
        <v>0</v>
      </c>
      <c r="AA1510">
        <v>0</v>
      </c>
      <c r="AB1510">
        <v>0</v>
      </c>
      <c r="AC1510">
        <v>0</v>
      </c>
      <c r="AD1510" t="s">
        <v>2970</v>
      </c>
    </row>
    <row r="1511" spans="1:30" x14ac:dyDescent="0.25">
      <c r="H1511" t="s">
        <v>2971</v>
      </c>
    </row>
    <row r="1512" spans="1:30" x14ac:dyDescent="0.25">
      <c r="A1512">
        <v>753</v>
      </c>
      <c r="B1512">
        <v>4131</v>
      </c>
      <c r="C1512" t="s">
        <v>1950</v>
      </c>
      <c r="D1512" t="s">
        <v>2972</v>
      </c>
      <c r="E1512" t="s">
        <v>28</v>
      </c>
      <c r="F1512" t="s">
        <v>2973</v>
      </c>
      <c r="G1512" t="str">
        <f>"00361254"</f>
        <v>00361254</v>
      </c>
      <c r="H1512" t="s">
        <v>329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70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19</v>
      </c>
      <c r="W1512">
        <v>133</v>
      </c>
      <c r="X1512">
        <v>0</v>
      </c>
      <c r="Z1512">
        <v>0</v>
      </c>
      <c r="AA1512">
        <v>0</v>
      </c>
      <c r="AB1512">
        <v>24</v>
      </c>
      <c r="AC1512">
        <v>408</v>
      </c>
      <c r="AD1512" t="s">
        <v>2974</v>
      </c>
    </row>
    <row r="1513" spans="1:30" x14ac:dyDescent="0.25">
      <c r="H1513" t="s">
        <v>2975</v>
      </c>
    </row>
    <row r="1514" spans="1:30" x14ac:dyDescent="0.25">
      <c r="A1514">
        <v>754</v>
      </c>
      <c r="B1514">
        <v>3139</v>
      </c>
      <c r="C1514" t="s">
        <v>2976</v>
      </c>
      <c r="D1514" t="s">
        <v>2977</v>
      </c>
      <c r="E1514" t="s">
        <v>59</v>
      </c>
      <c r="F1514" t="s">
        <v>2978</v>
      </c>
      <c r="G1514" t="str">
        <f>"00362400"</f>
        <v>00362400</v>
      </c>
      <c r="H1514">
        <v>869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50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8</v>
      </c>
      <c r="W1514">
        <v>56</v>
      </c>
      <c r="X1514">
        <v>0</v>
      </c>
      <c r="Z1514">
        <v>0</v>
      </c>
      <c r="AA1514">
        <v>0</v>
      </c>
      <c r="AB1514">
        <v>24</v>
      </c>
      <c r="AC1514">
        <v>408</v>
      </c>
      <c r="AD1514">
        <v>1383</v>
      </c>
    </row>
    <row r="1515" spans="1:30" x14ac:dyDescent="0.25">
      <c r="H1515" t="s">
        <v>2979</v>
      </c>
    </row>
    <row r="1516" spans="1:30" x14ac:dyDescent="0.25">
      <c r="A1516">
        <v>755</v>
      </c>
      <c r="B1516">
        <v>2943</v>
      </c>
      <c r="C1516" t="s">
        <v>2980</v>
      </c>
      <c r="D1516" t="s">
        <v>42</v>
      </c>
      <c r="E1516" t="s">
        <v>408</v>
      </c>
      <c r="F1516" t="s">
        <v>2981</v>
      </c>
      <c r="G1516" t="str">
        <f>"00352923"</f>
        <v>00352923</v>
      </c>
      <c r="H1516">
        <v>715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50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81</v>
      </c>
      <c r="W1516">
        <v>567</v>
      </c>
      <c r="X1516">
        <v>0</v>
      </c>
      <c r="Z1516">
        <v>0</v>
      </c>
      <c r="AA1516">
        <v>0</v>
      </c>
      <c r="AB1516">
        <v>3</v>
      </c>
      <c r="AC1516">
        <v>51</v>
      </c>
      <c r="AD1516">
        <v>1383</v>
      </c>
    </row>
    <row r="1517" spans="1:30" x14ac:dyDescent="0.25">
      <c r="H1517" t="s">
        <v>2982</v>
      </c>
    </row>
    <row r="1518" spans="1:30" x14ac:dyDescent="0.25">
      <c r="A1518">
        <v>756</v>
      </c>
      <c r="B1518">
        <v>1626</v>
      </c>
      <c r="C1518" t="s">
        <v>2983</v>
      </c>
      <c r="D1518" t="s">
        <v>89</v>
      </c>
      <c r="E1518" t="s">
        <v>66</v>
      </c>
      <c r="F1518" t="s">
        <v>2984</v>
      </c>
      <c r="G1518" t="str">
        <f>"00293337"</f>
        <v>00293337</v>
      </c>
      <c r="H1518" t="s">
        <v>1164</v>
      </c>
      <c r="I1518">
        <v>0</v>
      </c>
      <c r="J1518">
        <v>0</v>
      </c>
      <c r="K1518">
        <v>0</v>
      </c>
      <c r="L1518">
        <v>200</v>
      </c>
      <c r="M1518">
        <v>0</v>
      </c>
      <c r="N1518">
        <v>30</v>
      </c>
      <c r="O1518">
        <v>30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47</v>
      </c>
      <c r="W1518">
        <v>329</v>
      </c>
      <c r="X1518">
        <v>0</v>
      </c>
      <c r="Z1518">
        <v>1</v>
      </c>
      <c r="AA1518">
        <v>0</v>
      </c>
      <c r="AB1518">
        <v>0</v>
      </c>
      <c r="AC1518">
        <v>0</v>
      </c>
      <c r="AD1518" t="s">
        <v>2985</v>
      </c>
    </row>
    <row r="1519" spans="1:30" x14ac:dyDescent="0.25">
      <c r="H1519" t="s">
        <v>2986</v>
      </c>
    </row>
    <row r="1520" spans="1:30" x14ac:dyDescent="0.25">
      <c r="A1520">
        <v>757</v>
      </c>
      <c r="B1520">
        <v>1717</v>
      </c>
      <c r="C1520" t="s">
        <v>2987</v>
      </c>
      <c r="D1520" t="s">
        <v>34</v>
      </c>
      <c r="E1520" t="s">
        <v>135</v>
      </c>
      <c r="F1520" t="s">
        <v>2988</v>
      </c>
      <c r="G1520" t="str">
        <f>"00139497"</f>
        <v>00139497</v>
      </c>
      <c r="H1520" t="s">
        <v>1742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70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84</v>
      </c>
      <c r="W1520">
        <v>588</v>
      </c>
      <c r="X1520">
        <v>0</v>
      </c>
      <c r="Z1520">
        <v>0</v>
      </c>
      <c r="AA1520">
        <v>0</v>
      </c>
      <c r="AB1520">
        <v>0</v>
      </c>
      <c r="AC1520">
        <v>0</v>
      </c>
      <c r="AD1520" t="s">
        <v>2989</v>
      </c>
    </row>
    <row r="1521" spans="1:30" x14ac:dyDescent="0.25">
      <c r="H1521" t="s">
        <v>2990</v>
      </c>
    </row>
    <row r="1522" spans="1:30" x14ac:dyDescent="0.25">
      <c r="A1522">
        <v>758</v>
      </c>
      <c r="B1522">
        <v>425</v>
      </c>
      <c r="C1522" t="s">
        <v>2991</v>
      </c>
      <c r="D1522" t="s">
        <v>820</v>
      </c>
      <c r="E1522" t="s">
        <v>731</v>
      </c>
      <c r="F1522" t="s">
        <v>2992</v>
      </c>
      <c r="G1522" t="str">
        <f>"00023095"</f>
        <v>00023095</v>
      </c>
      <c r="H1522" t="s">
        <v>1675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30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84</v>
      </c>
      <c r="W1522">
        <v>588</v>
      </c>
      <c r="X1522">
        <v>0</v>
      </c>
      <c r="Z1522">
        <v>0</v>
      </c>
      <c r="AA1522">
        <v>0</v>
      </c>
      <c r="AB1522">
        <v>0</v>
      </c>
      <c r="AC1522">
        <v>0</v>
      </c>
      <c r="AD1522" t="s">
        <v>2993</v>
      </c>
    </row>
    <row r="1523" spans="1:30" x14ac:dyDescent="0.25">
      <c r="H1523" t="s">
        <v>2994</v>
      </c>
    </row>
    <row r="1524" spans="1:30" x14ac:dyDescent="0.25">
      <c r="A1524">
        <v>759</v>
      </c>
      <c r="B1524">
        <v>671</v>
      </c>
      <c r="C1524" t="s">
        <v>2995</v>
      </c>
      <c r="D1524" t="s">
        <v>22</v>
      </c>
      <c r="E1524" t="s">
        <v>28</v>
      </c>
      <c r="F1524" t="s">
        <v>2996</v>
      </c>
      <c r="G1524" t="str">
        <f>"201601000830"</f>
        <v>201601000830</v>
      </c>
      <c r="H1524" t="s">
        <v>79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70</v>
      </c>
      <c r="O1524">
        <v>30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71</v>
      </c>
      <c r="W1524">
        <v>497</v>
      </c>
      <c r="X1524">
        <v>0</v>
      </c>
      <c r="Z1524">
        <v>0</v>
      </c>
      <c r="AA1524">
        <v>0</v>
      </c>
      <c r="AB1524">
        <v>0</v>
      </c>
      <c r="AC1524">
        <v>0</v>
      </c>
      <c r="AD1524" t="s">
        <v>2997</v>
      </c>
    </row>
    <row r="1525" spans="1:30" x14ac:dyDescent="0.25">
      <c r="H1525" t="s">
        <v>2998</v>
      </c>
    </row>
    <row r="1526" spans="1:30" x14ac:dyDescent="0.25">
      <c r="A1526">
        <v>760</v>
      </c>
      <c r="B1526">
        <v>3086</v>
      </c>
      <c r="C1526" t="s">
        <v>2684</v>
      </c>
      <c r="D1526" t="s">
        <v>1232</v>
      </c>
      <c r="E1526" t="s">
        <v>119</v>
      </c>
      <c r="F1526" t="s">
        <v>2999</v>
      </c>
      <c r="G1526" t="str">
        <f>"00217153"</f>
        <v>00217153</v>
      </c>
      <c r="H1526" t="s">
        <v>244</v>
      </c>
      <c r="I1526">
        <v>0</v>
      </c>
      <c r="J1526">
        <v>0</v>
      </c>
      <c r="K1526">
        <v>0</v>
      </c>
      <c r="L1526">
        <v>200</v>
      </c>
      <c r="M1526">
        <v>0</v>
      </c>
      <c r="N1526">
        <v>70</v>
      </c>
      <c r="O1526">
        <v>0</v>
      </c>
      <c r="P1526">
        <v>30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41</v>
      </c>
      <c r="W1526">
        <v>287</v>
      </c>
      <c r="X1526">
        <v>0</v>
      </c>
      <c r="Z1526">
        <v>0</v>
      </c>
      <c r="AA1526">
        <v>0</v>
      </c>
      <c r="AB1526">
        <v>0</v>
      </c>
      <c r="AC1526">
        <v>0</v>
      </c>
      <c r="AD1526" t="s">
        <v>3000</v>
      </c>
    </row>
    <row r="1527" spans="1:30" x14ac:dyDescent="0.25">
      <c r="H1527" t="s">
        <v>3001</v>
      </c>
    </row>
    <row r="1528" spans="1:30" x14ac:dyDescent="0.25">
      <c r="A1528">
        <v>761</v>
      </c>
      <c r="B1528">
        <v>550</v>
      </c>
      <c r="C1528" t="s">
        <v>3002</v>
      </c>
      <c r="D1528" t="s">
        <v>3003</v>
      </c>
      <c r="E1528" t="s">
        <v>188</v>
      </c>
      <c r="F1528" t="s">
        <v>3004</v>
      </c>
      <c r="G1528" t="str">
        <f>"00298160"</f>
        <v>00298160</v>
      </c>
      <c r="H1528" t="s">
        <v>1504</v>
      </c>
      <c r="I1528">
        <v>150</v>
      </c>
      <c r="J1528">
        <v>0</v>
      </c>
      <c r="K1528">
        <v>0</v>
      </c>
      <c r="L1528">
        <v>0</v>
      </c>
      <c r="M1528">
        <v>0</v>
      </c>
      <c r="N1528">
        <v>70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50</v>
      </c>
      <c r="W1528">
        <v>350</v>
      </c>
      <c r="X1528">
        <v>0</v>
      </c>
      <c r="Z1528">
        <v>0</v>
      </c>
      <c r="AA1528">
        <v>0</v>
      </c>
      <c r="AB1528">
        <v>0</v>
      </c>
      <c r="AC1528">
        <v>0</v>
      </c>
      <c r="AD1528" t="s">
        <v>3005</v>
      </c>
    </row>
    <row r="1529" spans="1:30" x14ac:dyDescent="0.25">
      <c r="H1529" t="s">
        <v>3006</v>
      </c>
    </row>
    <row r="1530" spans="1:30" x14ac:dyDescent="0.25">
      <c r="A1530">
        <v>762</v>
      </c>
      <c r="B1530">
        <v>5140</v>
      </c>
      <c r="C1530" t="s">
        <v>3007</v>
      </c>
      <c r="D1530" t="s">
        <v>3008</v>
      </c>
      <c r="E1530" t="s">
        <v>2237</v>
      </c>
      <c r="F1530" t="s">
        <v>3009</v>
      </c>
      <c r="G1530" t="str">
        <f>"00092035"</f>
        <v>00092035</v>
      </c>
      <c r="H1530" t="s">
        <v>850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30</v>
      </c>
      <c r="O1530">
        <v>0</v>
      </c>
      <c r="P1530">
        <v>0</v>
      </c>
      <c r="Q1530">
        <v>50</v>
      </c>
      <c r="R1530">
        <v>0</v>
      </c>
      <c r="S1530">
        <v>0</v>
      </c>
      <c r="T1530">
        <v>0</v>
      </c>
      <c r="U1530">
        <v>0</v>
      </c>
      <c r="V1530">
        <v>81</v>
      </c>
      <c r="W1530">
        <v>567</v>
      </c>
      <c r="X1530">
        <v>0</v>
      </c>
      <c r="Z1530">
        <v>0</v>
      </c>
      <c r="AA1530">
        <v>0</v>
      </c>
      <c r="AB1530">
        <v>0</v>
      </c>
      <c r="AC1530">
        <v>0</v>
      </c>
      <c r="AD1530" t="s">
        <v>3005</v>
      </c>
    </row>
    <row r="1531" spans="1:30" x14ac:dyDescent="0.25">
      <c r="H1531" t="s">
        <v>3010</v>
      </c>
    </row>
    <row r="1532" spans="1:30" x14ac:dyDescent="0.25">
      <c r="A1532">
        <v>763</v>
      </c>
      <c r="B1532">
        <v>3833</v>
      </c>
      <c r="C1532" t="s">
        <v>3011</v>
      </c>
      <c r="D1532" t="s">
        <v>28</v>
      </c>
      <c r="E1532" t="s">
        <v>203</v>
      </c>
      <c r="F1532" t="s">
        <v>3012</v>
      </c>
      <c r="G1532" t="str">
        <f>"00359759"</f>
        <v>00359759</v>
      </c>
      <c r="H1532" t="s">
        <v>552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30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84</v>
      </c>
      <c r="W1532">
        <v>588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3013</v>
      </c>
    </row>
    <row r="1533" spans="1:30" x14ac:dyDescent="0.25">
      <c r="H1533">
        <v>1072</v>
      </c>
    </row>
    <row r="1534" spans="1:30" x14ac:dyDescent="0.25">
      <c r="A1534">
        <v>764</v>
      </c>
      <c r="B1534">
        <v>2460</v>
      </c>
      <c r="C1534" t="s">
        <v>1105</v>
      </c>
      <c r="D1534" t="s">
        <v>780</v>
      </c>
      <c r="E1534" t="s">
        <v>158</v>
      </c>
      <c r="F1534" t="s">
        <v>3014</v>
      </c>
      <c r="G1534" t="str">
        <f>"00020118"</f>
        <v>00020118</v>
      </c>
      <c r="H1534" t="s">
        <v>3015</v>
      </c>
      <c r="I1534">
        <v>0</v>
      </c>
      <c r="J1534">
        <v>0</v>
      </c>
      <c r="K1534">
        <v>0</v>
      </c>
      <c r="L1534">
        <v>200</v>
      </c>
      <c r="M1534">
        <v>0</v>
      </c>
      <c r="N1534">
        <v>70</v>
      </c>
      <c r="O1534">
        <v>0</v>
      </c>
      <c r="P1534">
        <v>30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26</v>
      </c>
      <c r="W1534">
        <v>182</v>
      </c>
      <c r="X1534">
        <v>0</v>
      </c>
      <c r="Z1534">
        <v>0</v>
      </c>
      <c r="AA1534">
        <v>0</v>
      </c>
      <c r="AB1534">
        <v>0</v>
      </c>
      <c r="AC1534">
        <v>0</v>
      </c>
      <c r="AD1534" t="s">
        <v>3016</v>
      </c>
    </row>
    <row r="1535" spans="1:30" x14ac:dyDescent="0.25">
      <c r="H1535" t="s">
        <v>3017</v>
      </c>
    </row>
    <row r="1536" spans="1:30" x14ac:dyDescent="0.25">
      <c r="A1536">
        <v>765</v>
      </c>
      <c r="B1536">
        <v>135</v>
      </c>
      <c r="C1536" t="s">
        <v>3018</v>
      </c>
      <c r="D1536" t="s">
        <v>35</v>
      </c>
      <c r="E1536" t="s">
        <v>28</v>
      </c>
      <c r="F1536" t="s">
        <v>3019</v>
      </c>
      <c r="G1536" t="str">
        <f>"00296191"</f>
        <v>00296191</v>
      </c>
      <c r="H1536" t="s">
        <v>606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70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84</v>
      </c>
      <c r="W1536">
        <v>588</v>
      </c>
      <c r="X1536">
        <v>0</v>
      </c>
      <c r="Z1536">
        <v>0</v>
      </c>
      <c r="AA1536">
        <v>0</v>
      </c>
      <c r="AB1536">
        <v>0</v>
      </c>
      <c r="AC1536">
        <v>0</v>
      </c>
      <c r="AD1536" t="s">
        <v>3016</v>
      </c>
    </row>
    <row r="1537" spans="1:30" x14ac:dyDescent="0.25">
      <c r="H1537" t="s">
        <v>1790</v>
      </c>
    </row>
    <row r="1538" spans="1:30" x14ac:dyDescent="0.25">
      <c r="A1538">
        <v>766</v>
      </c>
      <c r="B1538">
        <v>4096</v>
      </c>
      <c r="C1538" t="s">
        <v>3020</v>
      </c>
      <c r="D1538" t="s">
        <v>3021</v>
      </c>
      <c r="E1538" t="s">
        <v>28</v>
      </c>
      <c r="F1538" t="s">
        <v>3022</v>
      </c>
      <c r="G1538" t="str">
        <f>"201412005466"</f>
        <v>201412005466</v>
      </c>
      <c r="H1538" t="s">
        <v>3023</v>
      </c>
      <c r="I1538">
        <v>0</v>
      </c>
      <c r="J1538">
        <v>0</v>
      </c>
      <c r="K1538">
        <v>0</v>
      </c>
      <c r="L1538">
        <v>0</v>
      </c>
      <c r="M1538">
        <v>100</v>
      </c>
      <c r="N1538">
        <v>30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84</v>
      </c>
      <c r="W1538">
        <v>588</v>
      </c>
      <c r="X1538">
        <v>0</v>
      </c>
      <c r="Z1538">
        <v>0</v>
      </c>
      <c r="AA1538">
        <v>0</v>
      </c>
      <c r="AB1538">
        <v>0</v>
      </c>
      <c r="AC1538">
        <v>0</v>
      </c>
      <c r="AD1538" t="s">
        <v>3024</v>
      </c>
    </row>
    <row r="1539" spans="1:30" x14ac:dyDescent="0.25">
      <c r="H1539" t="s">
        <v>32</v>
      </c>
    </row>
    <row r="1540" spans="1:30" x14ac:dyDescent="0.25">
      <c r="A1540">
        <v>767</v>
      </c>
      <c r="B1540">
        <v>2792</v>
      </c>
      <c r="C1540" t="s">
        <v>1926</v>
      </c>
      <c r="D1540" t="s">
        <v>1927</v>
      </c>
      <c r="E1540" t="s">
        <v>225</v>
      </c>
      <c r="F1540" t="s">
        <v>1928</v>
      </c>
      <c r="G1540" t="str">
        <f>"00366722"</f>
        <v>00366722</v>
      </c>
      <c r="H1540" t="s">
        <v>1929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70</v>
      </c>
      <c r="O1540">
        <v>0</v>
      </c>
      <c r="P1540">
        <v>0</v>
      </c>
      <c r="Q1540">
        <v>50</v>
      </c>
      <c r="R1540">
        <v>0</v>
      </c>
      <c r="S1540">
        <v>0</v>
      </c>
      <c r="T1540">
        <v>0</v>
      </c>
      <c r="U1540">
        <v>0</v>
      </c>
      <c r="V1540">
        <v>84</v>
      </c>
      <c r="W1540">
        <v>588</v>
      </c>
      <c r="X1540">
        <v>0</v>
      </c>
      <c r="Z1540">
        <v>0</v>
      </c>
      <c r="AA1540">
        <v>0</v>
      </c>
      <c r="AB1540">
        <v>0</v>
      </c>
      <c r="AC1540">
        <v>0</v>
      </c>
      <c r="AD1540" t="s">
        <v>3025</v>
      </c>
    </row>
    <row r="1541" spans="1:30" x14ac:dyDescent="0.25">
      <c r="H1541" t="s">
        <v>1931</v>
      </c>
    </row>
    <row r="1542" spans="1:30" x14ac:dyDescent="0.25">
      <c r="A1542">
        <v>768</v>
      </c>
      <c r="B1542">
        <v>3270</v>
      </c>
      <c r="C1542" t="s">
        <v>3026</v>
      </c>
      <c r="D1542" t="s">
        <v>3027</v>
      </c>
      <c r="E1542" t="s">
        <v>158</v>
      </c>
      <c r="F1542" t="s">
        <v>3028</v>
      </c>
      <c r="G1542" t="str">
        <f>"00355258"</f>
        <v>00355258</v>
      </c>
      <c r="H1542" t="s">
        <v>946</v>
      </c>
      <c r="I1542">
        <v>0</v>
      </c>
      <c r="J1542">
        <v>0</v>
      </c>
      <c r="K1542">
        <v>200</v>
      </c>
      <c r="L1542">
        <v>0</v>
      </c>
      <c r="M1542">
        <v>100</v>
      </c>
      <c r="N1542">
        <v>70</v>
      </c>
      <c r="O1542">
        <v>30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40</v>
      </c>
      <c r="W1542">
        <v>280</v>
      </c>
      <c r="X1542">
        <v>0</v>
      </c>
      <c r="Z1542">
        <v>0</v>
      </c>
      <c r="AA1542">
        <v>0</v>
      </c>
      <c r="AB1542">
        <v>0</v>
      </c>
      <c r="AC1542">
        <v>0</v>
      </c>
      <c r="AD1542" t="s">
        <v>3029</v>
      </c>
    </row>
    <row r="1543" spans="1:30" x14ac:dyDescent="0.25">
      <c r="H1543" t="s">
        <v>3030</v>
      </c>
    </row>
    <row r="1544" spans="1:30" x14ac:dyDescent="0.25">
      <c r="A1544">
        <v>769</v>
      </c>
      <c r="B1544">
        <v>402</v>
      </c>
      <c r="C1544" t="s">
        <v>1958</v>
      </c>
      <c r="D1544" t="s">
        <v>42</v>
      </c>
      <c r="E1544" t="s">
        <v>59</v>
      </c>
      <c r="F1544" t="s">
        <v>1959</v>
      </c>
      <c r="G1544" t="str">
        <f>"00299936"</f>
        <v>00299936</v>
      </c>
      <c r="H1544" t="s">
        <v>1960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30</v>
      </c>
      <c r="O1544">
        <v>30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84</v>
      </c>
      <c r="W1544">
        <v>588</v>
      </c>
      <c r="X1544">
        <v>0</v>
      </c>
      <c r="Z1544">
        <v>0</v>
      </c>
      <c r="AA1544">
        <v>0</v>
      </c>
      <c r="AB1544">
        <v>0</v>
      </c>
      <c r="AC1544">
        <v>0</v>
      </c>
      <c r="AD1544" t="s">
        <v>3031</v>
      </c>
    </row>
    <row r="1545" spans="1:30" x14ac:dyDescent="0.25">
      <c r="H1545" t="s">
        <v>1962</v>
      </c>
    </row>
    <row r="1546" spans="1:30" x14ac:dyDescent="0.25">
      <c r="A1546">
        <v>770</v>
      </c>
      <c r="B1546">
        <v>4558</v>
      </c>
      <c r="C1546" t="s">
        <v>3032</v>
      </c>
      <c r="D1546" t="s">
        <v>59</v>
      </c>
      <c r="E1546" t="s">
        <v>300</v>
      </c>
      <c r="F1546" t="s">
        <v>3033</v>
      </c>
      <c r="G1546" t="str">
        <f>"00018916"</f>
        <v>00018916</v>
      </c>
      <c r="H1546" t="s">
        <v>375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30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84</v>
      </c>
      <c r="W1546">
        <v>588</v>
      </c>
      <c r="X1546">
        <v>0</v>
      </c>
      <c r="Z1546">
        <v>0</v>
      </c>
      <c r="AA1546">
        <v>0</v>
      </c>
      <c r="AB1546">
        <v>0</v>
      </c>
      <c r="AC1546">
        <v>0</v>
      </c>
      <c r="AD1546" t="s">
        <v>3034</v>
      </c>
    </row>
    <row r="1547" spans="1:30" x14ac:dyDescent="0.25">
      <c r="H1547" t="s">
        <v>3035</v>
      </c>
    </row>
    <row r="1548" spans="1:30" x14ac:dyDescent="0.25">
      <c r="A1548">
        <v>771</v>
      </c>
      <c r="B1548">
        <v>1335</v>
      </c>
      <c r="C1548" t="s">
        <v>3036</v>
      </c>
      <c r="D1548" t="s">
        <v>3037</v>
      </c>
      <c r="E1548" t="s">
        <v>579</v>
      </c>
      <c r="F1548" t="s">
        <v>3038</v>
      </c>
      <c r="G1548" t="str">
        <f>"00268690"</f>
        <v>00268690</v>
      </c>
      <c r="H1548" t="s">
        <v>483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30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72</v>
      </c>
      <c r="W1548">
        <v>504</v>
      </c>
      <c r="X1548">
        <v>0</v>
      </c>
      <c r="Z1548">
        <v>0</v>
      </c>
      <c r="AA1548">
        <v>0</v>
      </c>
      <c r="AB1548">
        <v>0</v>
      </c>
      <c r="AC1548">
        <v>0</v>
      </c>
      <c r="AD1548" t="s">
        <v>3039</v>
      </c>
    </row>
    <row r="1549" spans="1:30" x14ac:dyDescent="0.25">
      <c r="H1549" t="s">
        <v>3040</v>
      </c>
    </row>
    <row r="1550" spans="1:30" x14ac:dyDescent="0.25">
      <c r="A1550">
        <v>772</v>
      </c>
      <c r="B1550">
        <v>696</v>
      </c>
      <c r="C1550" t="s">
        <v>3041</v>
      </c>
      <c r="D1550" t="s">
        <v>142</v>
      </c>
      <c r="E1550" t="s">
        <v>77</v>
      </c>
      <c r="F1550" t="s">
        <v>3042</v>
      </c>
      <c r="G1550" t="str">
        <f>"200804000542"</f>
        <v>200804000542</v>
      </c>
      <c r="H1550" t="s">
        <v>227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84</v>
      </c>
      <c r="W1550">
        <v>588</v>
      </c>
      <c r="X1550">
        <v>0</v>
      </c>
      <c r="Z1550">
        <v>0</v>
      </c>
      <c r="AA1550">
        <v>0</v>
      </c>
      <c r="AB1550">
        <v>0</v>
      </c>
      <c r="AC1550">
        <v>0</v>
      </c>
      <c r="AD1550" t="s">
        <v>3043</v>
      </c>
    </row>
    <row r="1551" spans="1:30" x14ac:dyDescent="0.25">
      <c r="H1551">
        <v>1089</v>
      </c>
    </row>
    <row r="1552" spans="1:30" x14ac:dyDescent="0.25">
      <c r="A1552">
        <v>773</v>
      </c>
      <c r="B1552">
        <v>4930</v>
      </c>
      <c r="C1552" t="s">
        <v>3044</v>
      </c>
      <c r="D1552" t="s">
        <v>3045</v>
      </c>
      <c r="E1552" t="s">
        <v>1271</v>
      </c>
      <c r="F1552" t="s">
        <v>3046</v>
      </c>
      <c r="G1552" t="str">
        <f>"00358397"</f>
        <v>00358397</v>
      </c>
      <c r="H1552" t="s">
        <v>227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30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84</v>
      </c>
      <c r="W1552">
        <v>588</v>
      </c>
      <c r="X1552">
        <v>0</v>
      </c>
      <c r="Z1552">
        <v>0</v>
      </c>
      <c r="AA1552">
        <v>0</v>
      </c>
      <c r="AB1552">
        <v>0</v>
      </c>
      <c r="AC1552">
        <v>0</v>
      </c>
      <c r="AD1552" t="s">
        <v>3043</v>
      </c>
    </row>
    <row r="1553" spans="1:30" x14ac:dyDescent="0.25">
      <c r="H1553" t="s">
        <v>3047</v>
      </c>
    </row>
    <row r="1554" spans="1:30" x14ac:dyDescent="0.25">
      <c r="A1554">
        <v>774</v>
      </c>
      <c r="B1554">
        <v>3695</v>
      </c>
      <c r="C1554" t="s">
        <v>3048</v>
      </c>
      <c r="D1554" t="s">
        <v>1405</v>
      </c>
      <c r="E1554" t="s">
        <v>15</v>
      </c>
      <c r="F1554" t="s">
        <v>3049</v>
      </c>
      <c r="G1554" t="str">
        <f>"00355944"</f>
        <v>00355944</v>
      </c>
      <c r="H1554" t="s">
        <v>3050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70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84</v>
      </c>
      <c r="W1554">
        <v>588</v>
      </c>
      <c r="X1554">
        <v>0</v>
      </c>
      <c r="Z1554">
        <v>0</v>
      </c>
      <c r="AA1554">
        <v>0</v>
      </c>
      <c r="AB1554">
        <v>0</v>
      </c>
      <c r="AC1554">
        <v>0</v>
      </c>
      <c r="AD1554" t="s">
        <v>3051</v>
      </c>
    </row>
    <row r="1555" spans="1:30" x14ac:dyDescent="0.25">
      <c r="H1555" t="s">
        <v>3052</v>
      </c>
    </row>
    <row r="1556" spans="1:30" x14ac:dyDescent="0.25">
      <c r="A1556">
        <v>775</v>
      </c>
      <c r="B1556">
        <v>2126</v>
      </c>
      <c r="C1556" t="s">
        <v>2625</v>
      </c>
      <c r="D1556" t="s">
        <v>142</v>
      </c>
      <c r="E1556" t="s">
        <v>77</v>
      </c>
      <c r="F1556" t="s">
        <v>2626</v>
      </c>
      <c r="G1556" t="str">
        <f>"00016017"</f>
        <v>00016017</v>
      </c>
      <c r="H1556" t="s">
        <v>606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30</v>
      </c>
      <c r="O1556">
        <v>0</v>
      </c>
      <c r="P1556">
        <v>0</v>
      </c>
      <c r="Q1556">
        <v>30</v>
      </c>
      <c r="R1556">
        <v>0</v>
      </c>
      <c r="S1556">
        <v>0</v>
      </c>
      <c r="T1556">
        <v>0</v>
      </c>
      <c r="U1556">
        <v>0</v>
      </c>
      <c r="V1556">
        <v>84</v>
      </c>
      <c r="W1556">
        <v>588</v>
      </c>
      <c r="X1556">
        <v>0</v>
      </c>
      <c r="Z1556">
        <v>0</v>
      </c>
      <c r="AA1556">
        <v>0</v>
      </c>
      <c r="AB1556">
        <v>0</v>
      </c>
      <c r="AC1556">
        <v>0</v>
      </c>
      <c r="AD1556" t="s">
        <v>3053</v>
      </c>
    </row>
    <row r="1557" spans="1:30" x14ac:dyDescent="0.25">
      <c r="H1557" t="s">
        <v>2628</v>
      </c>
    </row>
    <row r="1558" spans="1:30" x14ac:dyDescent="0.25">
      <c r="A1558">
        <v>776</v>
      </c>
      <c r="B1558">
        <v>543</v>
      </c>
      <c r="C1558" t="s">
        <v>3054</v>
      </c>
      <c r="D1558" t="s">
        <v>333</v>
      </c>
      <c r="E1558" t="s">
        <v>3055</v>
      </c>
      <c r="F1558" t="s">
        <v>3056</v>
      </c>
      <c r="G1558" t="str">
        <f>"201604000255"</f>
        <v>201604000255</v>
      </c>
      <c r="H1558" t="s">
        <v>2247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70</v>
      </c>
      <c r="U1558">
        <v>0</v>
      </c>
      <c r="V1558">
        <v>84</v>
      </c>
      <c r="W1558">
        <v>588</v>
      </c>
      <c r="X1558">
        <v>0</v>
      </c>
      <c r="Z1558">
        <v>0</v>
      </c>
      <c r="AA1558">
        <v>0</v>
      </c>
      <c r="AB1558">
        <v>0</v>
      </c>
      <c r="AC1558">
        <v>0</v>
      </c>
      <c r="AD1558" t="s">
        <v>3057</v>
      </c>
    </row>
    <row r="1559" spans="1:30" x14ac:dyDescent="0.25">
      <c r="H1559" t="s">
        <v>933</v>
      </c>
    </row>
    <row r="1560" spans="1:30" x14ac:dyDescent="0.25">
      <c r="A1560">
        <v>777</v>
      </c>
      <c r="B1560">
        <v>3814</v>
      </c>
      <c r="C1560" t="s">
        <v>3058</v>
      </c>
      <c r="D1560" t="s">
        <v>14</v>
      </c>
      <c r="E1560" t="s">
        <v>820</v>
      </c>
      <c r="F1560" t="s">
        <v>3059</v>
      </c>
      <c r="G1560" t="str">
        <f>"00344064"</f>
        <v>00344064</v>
      </c>
      <c r="H1560" t="s">
        <v>723</v>
      </c>
      <c r="I1560">
        <v>0</v>
      </c>
      <c r="J1560">
        <v>0</v>
      </c>
      <c r="K1560">
        <v>0</v>
      </c>
      <c r="L1560">
        <v>200</v>
      </c>
      <c r="M1560">
        <v>0</v>
      </c>
      <c r="N1560">
        <v>50</v>
      </c>
      <c r="O1560">
        <v>30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51</v>
      </c>
      <c r="W1560">
        <v>357</v>
      </c>
      <c r="X1560">
        <v>0</v>
      </c>
      <c r="Z1560">
        <v>0</v>
      </c>
      <c r="AA1560">
        <v>0</v>
      </c>
      <c r="AB1560">
        <v>0</v>
      </c>
      <c r="AC1560">
        <v>0</v>
      </c>
      <c r="AD1560" t="s">
        <v>3060</v>
      </c>
    </row>
    <row r="1561" spans="1:30" x14ac:dyDescent="0.25">
      <c r="H1561">
        <v>1072</v>
      </c>
    </row>
    <row r="1562" spans="1:30" x14ac:dyDescent="0.25">
      <c r="A1562">
        <v>778</v>
      </c>
      <c r="B1562">
        <v>2326</v>
      </c>
      <c r="C1562" t="s">
        <v>3061</v>
      </c>
      <c r="D1562" t="s">
        <v>3062</v>
      </c>
      <c r="E1562" t="s">
        <v>135</v>
      </c>
      <c r="F1562" t="s">
        <v>3063</v>
      </c>
      <c r="G1562" t="str">
        <f>"00333186"</f>
        <v>00333186</v>
      </c>
      <c r="H1562" t="s">
        <v>813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50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84</v>
      </c>
      <c r="W1562">
        <v>588</v>
      </c>
      <c r="X1562">
        <v>0</v>
      </c>
      <c r="Z1562">
        <v>0</v>
      </c>
      <c r="AA1562">
        <v>0</v>
      </c>
      <c r="AB1562">
        <v>0</v>
      </c>
      <c r="AC1562">
        <v>0</v>
      </c>
      <c r="AD1562" t="s">
        <v>3064</v>
      </c>
    </row>
    <row r="1563" spans="1:30" x14ac:dyDescent="0.25">
      <c r="H1563">
        <v>1089</v>
      </c>
    </row>
    <row r="1564" spans="1:30" x14ac:dyDescent="0.25">
      <c r="A1564">
        <v>779</v>
      </c>
      <c r="B1564">
        <v>2674</v>
      </c>
      <c r="C1564" t="s">
        <v>3065</v>
      </c>
      <c r="D1564" t="s">
        <v>373</v>
      </c>
      <c r="E1564" t="s">
        <v>28</v>
      </c>
      <c r="F1564" t="s">
        <v>3066</v>
      </c>
      <c r="G1564" t="str">
        <f>"00368426"</f>
        <v>00368426</v>
      </c>
      <c r="H1564" t="s">
        <v>3067</v>
      </c>
      <c r="I1564">
        <v>0</v>
      </c>
      <c r="J1564">
        <v>0</v>
      </c>
      <c r="K1564">
        <v>0</v>
      </c>
      <c r="L1564">
        <v>0</v>
      </c>
      <c r="M1564">
        <v>100</v>
      </c>
      <c r="N1564">
        <v>70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46</v>
      </c>
      <c r="W1564">
        <v>322</v>
      </c>
      <c r="X1564">
        <v>0</v>
      </c>
      <c r="Z1564">
        <v>0</v>
      </c>
      <c r="AA1564">
        <v>0</v>
      </c>
      <c r="AB1564">
        <v>0</v>
      </c>
      <c r="AC1564">
        <v>0</v>
      </c>
      <c r="AD1564" t="s">
        <v>3068</v>
      </c>
    </row>
    <row r="1565" spans="1:30" x14ac:dyDescent="0.25">
      <c r="H1565" t="s">
        <v>3069</v>
      </c>
    </row>
    <row r="1566" spans="1:30" x14ac:dyDescent="0.25">
      <c r="A1566">
        <v>780</v>
      </c>
      <c r="B1566">
        <v>4685</v>
      </c>
      <c r="C1566" t="s">
        <v>3070</v>
      </c>
      <c r="D1566" t="s">
        <v>1129</v>
      </c>
      <c r="E1566" t="s">
        <v>42</v>
      </c>
      <c r="F1566" t="s">
        <v>3071</v>
      </c>
      <c r="G1566" t="str">
        <f>"00018310"</f>
        <v>00018310</v>
      </c>
      <c r="H1566" t="s">
        <v>3072</v>
      </c>
      <c r="I1566">
        <v>0</v>
      </c>
      <c r="J1566">
        <v>0</v>
      </c>
      <c r="K1566">
        <v>0</v>
      </c>
      <c r="L1566">
        <v>0</v>
      </c>
      <c r="M1566">
        <v>100</v>
      </c>
      <c r="N1566">
        <v>70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84</v>
      </c>
      <c r="W1566">
        <v>588</v>
      </c>
      <c r="X1566">
        <v>0</v>
      </c>
      <c r="Z1566">
        <v>0</v>
      </c>
      <c r="AA1566">
        <v>0</v>
      </c>
      <c r="AB1566">
        <v>0</v>
      </c>
      <c r="AC1566">
        <v>0</v>
      </c>
      <c r="AD1566" t="s">
        <v>3073</v>
      </c>
    </row>
    <row r="1567" spans="1:30" x14ac:dyDescent="0.25">
      <c r="H1567" t="s">
        <v>3074</v>
      </c>
    </row>
    <row r="1568" spans="1:30" x14ac:dyDescent="0.25">
      <c r="A1568">
        <v>781</v>
      </c>
      <c r="B1568">
        <v>4515</v>
      </c>
      <c r="C1568" t="s">
        <v>3075</v>
      </c>
      <c r="D1568" t="s">
        <v>3076</v>
      </c>
      <c r="E1568" t="s">
        <v>28</v>
      </c>
      <c r="F1568" t="s">
        <v>3077</v>
      </c>
      <c r="G1568" t="str">
        <f>"00014155"</f>
        <v>00014155</v>
      </c>
      <c r="H1568">
        <v>748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30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84</v>
      </c>
      <c r="W1568">
        <v>588</v>
      </c>
      <c r="X1568">
        <v>0</v>
      </c>
      <c r="Z1568">
        <v>0</v>
      </c>
      <c r="AA1568">
        <v>0</v>
      </c>
      <c r="AB1568">
        <v>0</v>
      </c>
      <c r="AC1568">
        <v>0</v>
      </c>
      <c r="AD1568">
        <v>1366</v>
      </c>
    </row>
    <row r="1569" spans="1:30" x14ac:dyDescent="0.25">
      <c r="H1569">
        <v>1072</v>
      </c>
    </row>
    <row r="1570" spans="1:30" x14ac:dyDescent="0.25">
      <c r="A1570">
        <v>782</v>
      </c>
      <c r="B1570">
        <v>4144</v>
      </c>
      <c r="C1570" t="s">
        <v>3078</v>
      </c>
      <c r="D1570" t="s">
        <v>3079</v>
      </c>
      <c r="E1570" t="s">
        <v>35</v>
      </c>
      <c r="F1570" t="s">
        <v>3080</v>
      </c>
      <c r="G1570" t="str">
        <f>"00084893"</f>
        <v>00084893</v>
      </c>
      <c r="H1570" t="s">
        <v>2056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30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80</v>
      </c>
      <c r="W1570">
        <v>560</v>
      </c>
      <c r="X1570">
        <v>0</v>
      </c>
      <c r="Z1570">
        <v>0</v>
      </c>
      <c r="AA1570">
        <v>0</v>
      </c>
      <c r="AB1570">
        <v>4</v>
      </c>
      <c r="AC1570">
        <v>68</v>
      </c>
      <c r="AD1570" t="s">
        <v>3081</v>
      </c>
    </row>
    <row r="1571" spans="1:30" x14ac:dyDescent="0.25">
      <c r="H1571" t="s">
        <v>3082</v>
      </c>
    </row>
    <row r="1572" spans="1:30" x14ac:dyDescent="0.25">
      <c r="A1572">
        <v>783</v>
      </c>
      <c r="B1572">
        <v>2838</v>
      </c>
      <c r="C1572" t="s">
        <v>2503</v>
      </c>
      <c r="D1572" t="s">
        <v>1361</v>
      </c>
      <c r="E1572" t="s">
        <v>203</v>
      </c>
      <c r="F1572" t="s">
        <v>3083</v>
      </c>
      <c r="G1572" t="str">
        <f>"00339550"</f>
        <v>00339550</v>
      </c>
      <c r="H1572" t="s">
        <v>492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30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84</v>
      </c>
      <c r="W1572">
        <v>588</v>
      </c>
      <c r="X1572">
        <v>0</v>
      </c>
      <c r="Z1572">
        <v>0</v>
      </c>
      <c r="AA1572">
        <v>0</v>
      </c>
      <c r="AB1572">
        <v>0</v>
      </c>
      <c r="AC1572">
        <v>0</v>
      </c>
      <c r="AD1572" t="s">
        <v>3084</v>
      </c>
    </row>
    <row r="1573" spans="1:30" x14ac:dyDescent="0.25">
      <c r="H1573" t="s">
        <v>63</v>
      </c>
    </row>
    <row r="1574" spans="1:30" x14ac:dyDescent="0.25">
      <c r="A1574">
        <v>784</v>
      </c>
      <c r="B1574">
        <v>803</v>
      </c>
      <c r="C1574" t="s">
        <v>2002</v>
      </c>
      <c r="D1574" t="s">
        <v>556</v>
      </c>
      <c r="E1574" t="s">
        <v>77</v>
      </c>
      <c r="F1574" t="s">
        <v>2003</v>
      </c>
      <c r="G1574" t="str">
        <f>"00040177"</f>
        <v>00040177</v>
      </c>
      <c r="H1574" t="s">
        <v>492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84</v>
      </c>
      <c r="W1574">
        <v>588</v>
      </c>
      <c r="X1574">
        <v>0</v>
      </c>
      <c r="Z1574">
        <v>0</v>
      </c>
      <c r="AA1574">
        <v>0</v>
      </c>
      <c r="AB1574">
        <v>0</v>
      </c>
      <c r="AC1574">
        <v>0</v>
      </c>
      <c r="AD1574" t="s">
        <v>3084</v>
      </c>
    </row>
    <row r="1575" spans="1:30" x14ac:dyDescent="0.25">
      <c r="H1575" t="s">
        <v>2004</v>
      </c>
    </row>
    <row r="1576" spans="1:30" x14ac:dyDescent="0.25">
      <c r="A1576">
        <v>785</v>
      </c>
      <c r="B1576">
        <v>866</v>
      </c>
      <c r="C1576" t="s">
        <v>3085</v>
      </c>
      <c r="D1576" t="s">
        <v>193</v>
      </c>
      <c r="E1576" t="s">
        <v>135</v>
      </c>
      <c r="F1576" t="s">
        <v>3086</v>
      </c>
      <c r="G1576" t="str">
        <f>"201504005217"</f>
        <v>201504005217</v>
      </c>
      <c r="H1576" t="s">
        <v>492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30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84</v>
      </c>
      <c r="W1576">
        <v>588</v>
      </c>
      <c r="X1576">
        <v>0</v>
      </c>
      <c r="Z1576">
        <v>0</v>
      </c>
      <c r="AA1576">
        <v>0</v>
      </c>
      <c r="AB1576">
        <v>0</v>
      </c>
      <c r="AC1576">
        <v>0</v>
      </c>
      <c r="AD1576" t="s">
        <v>3084</v>
      </c>
    </row>
    <row r="1577" spans="1:30" x14ac:dyDescent="0.25">
      <c r="H1577" t="s">
        <v>3087</v>
      </c>
    </row>
    <row r="1578" spans="1:30" x14ac:dyDescent="0.25">
      <c r="A1578">
        <v>786</v>
      </c>
      <c r="B1578">
        <v>899</v>
      </c>
      <c r="C1578" t="s">
        <v>2687</v>
      </c>
      <c r="D1578" t="s">
        <v>293</v>
      </c>
      <c r="E1578" t="s">
        <v>1361</v>
      </c>
      <c r="F1578" t="s">
        <v>3088</v>
      </c>
      <c r="G1578" t="str">
        <f>"201407000277"</f>
        <v>201407000277</v>
      </c>
      <c r="H1578">
        <v>704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70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26</v>
      </c>
      <c r="W1578">
        <v>182</v>
      </c>
      <c r="X1578">
        <v>0</v>
      </c>
      <c r="Z1578">
        <v>1</v>
      </c>
      <c r="AA1578">
        <v>0</v>
      </c>
      <c r="AB1578">
        <v>24</v>
      </c>
      <c r="AC1578">
        <v>408</v>
      </c>
      <c r="AD1578">
        <v>1364</v>
      </c>
    </row>
    <row r="1579" spans="1:30" x14ac:dyDescent="0.25">
      <c r="H1579" t="s">
        <v>3089</v>
      </c>
    </row>
    <row r="1580" spans="1:30" x14ac:dyDescent="0.25">
      <c r="A1580">
        <v>787</v>
      </c>
      <c r="B1580">
        <v>5297</v>
      </c>
      <c r="C1580" t="s">
        <v>3090</v>
      </c>
      <c r="D1580" t="s">
        <v>197</v>
      </c>
      <c r="E1580" t="s">
        <v>28</v>
      </c>
      <c r="F1580" t="s">
        <v>3091</v>
      </c>
      <c r="G1580" t="str">
        <f>"00370197"</f>
        <v>00370197</v>
      </c>
      <c r="H1580" t="s">
        <v>1960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50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84</v>
      </c>
      <c r="W1580">
        <v>588</v>
      </c>
      <c r="X1580">
        <v>0</v>
      </c>
      <c r="Z1580">
        <v>0</v>
      </c>
      <c r="AA1580">
        <v>0</v>
      </c>
      <c r="AB1580">
        <v>0</v>
      </c>
      <c r="AC1580">
        <v>0</v>
      </c>
      <c r="AD1580" t="s">
        <v>3092</v>
      </c>
    </row>
    <row r="1581" spans="1:30" x14ac:dyDescent="0.25">
      <c r="H1581" t="s">
        <v>3093</v>
      </c>
    </row>
    <row r="1582" spans="1:30" x14ac:dyDescent="0.25">
      <c r="A1582">
        <v>788</v>
      </c>
      <c r="B1582">
        <v>5328</v>
      </c>
      <c r="C1582" t="s">
        <v>3094</v>
      </c>
      <c r="D1582" t="s">
        <v>142</v>
      </c>
      <c r="E1582" t="s">
        <v>90</v>
      </c>
      <c r="F1582" t="s">
        <v>3095</v>
      </c>
      <c r="G1582" t="str">
        <f>"00327710"</f>
        <v>00327710</v>
      </c>
      <c r="H1582" t="s">
        <v>3096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70</v>
      </c>
      <c r="O1582">
        <v>0</v>
      </c>
      <c r="P1582">
        <v>0</v>
      </c>
      <c r="Q1582">
        <v>0</v>
      </c>
      <c r="R1582">
        <v>30</v>
      </c>
      <c r="S1582">
        <v>0</v>
      </c>
      <c r="T1582">
        <v>0</v>
      </c>
      <c r="U1582">
        <v>0</v>
      </c>
      <c r="V1582">
        <v>84</v>
      </c>
      <c r="W1582">
        <v>588</v>
      </c>
      <c r="X1582">
        <v>6</v>
      </c>
      <c r="Y1582">
        <v>1084</v>
      </c>
      <c r="Z1582">
        <v>0</v>
      </c>
      <c r="AA1582">
        <v>0</v>
      </c>
      <c r="AB1582">
        <v>0</v>
      </c>
      <c r="AC1582">
        <v>0</v>
      </c>
      <c r="AD1582" t="s">
        <v>3097</v>
      </c>
    </row>
    <row r="1583" spans="1:30" x14ac:dyDescent="0.25">
      <c r="H1583">
        <v>1084</v>
      </c>
    </row>
    <row r="1584" spans="1:30" x14ac:dyDescent="0.25">
      <c r="A1584">
        <v>789</v>
      </c>
      <c r="B1584">
        <v>4322</v>
      </c>
      <c r="C1584" t="s">
        <v>3098</v>
      </c>
      <c r="D1584" t="s">
        <v>3099</v>
      </c>
      <c r="E1584" t="s">
        <v>780</v>
      </c>
      <c r="F1584" t="s">
        <v>3100</v>
      </c>
      <c r="G1584" t="str">
        <f>"00157955"</f>
        <v>00157955</v>
      </c>
      <c r="H1584" t="s">
        <v>1742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50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84</v>
      </c>
      <c r="W1584">
        <v>588</v>
      </c>
      <c r="X1584">
        <v>0</v>
      </c>
      <c r="Z1584">
        <v>0</v>
      </c>
      <c r="AA1584">
        <v>0</v>
      </c>
      <c r="AB1584">
        <v>0</v>
      </c>
      <c r="AC1584">
        <v>0</v>
      </c>
      <c r="AD1584" t="s">
        <v>3101</v>
      </c>
    </row>
    <row r="1585" spans="1:30" x14ac:dyDescent="0.25">
      <c r="H1585" t="s">
        <v>3102</v>
      </c>
    </row>
    <row r="1586" spans="1:30" x14ac:dyDescent="0.25">
      <c r="A1586">
        <v>790</v>
      </c>
      <c r="B1586">
        <v>2319</v>
      </c>
      <c r="C1586" t="s">
        <v>3103</v>
      </c>
      <c r="D1586" t="s">
        <v>135</v>
      </c>
      <c r="E1586" t="s">
        <v>272</v>
      </c>
      <c r="F1586" t="s">
        <v>3104</v>
      </c>
      <c r="G1586" t="str">
        <f>"201410004094"</f>
        <v>201410004094</v>
      </c>
      <c r="H1586" t="s">
        <v>17</v>
      </c>
      <c r="I1586">
        <v>150</v>
      </c>
      <c r="J1586">
        <v>0</v>
      </c>
      <c r="K1586">
        <v>0</v>
      </c>
      <c r="L1586">
        <v>200</v>
      </c>
      <c r="M1586">
        <v>0</v>
      </c>
      <c r="N1586">
        <v>70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24</v>
      </c>
      <c r="W1586">
        <v>168</v>
      </c>
      <c r="X1586">
        <v>0</v>
      </c>
      <c r="Z1586">
        <v>0</v>
      </c>
      <c r="AA1586">
        <v>0</v>
      </c>
      <c r="AB1586">
        <v>0</v>
      </c>
      <c r="AC1586">
        <v>0</v>
      </c>
      <c r="AD1586" t="s">
        <v>3105</v>
      </c>
    </row>
    <row r="1587" spans="1:30" x14ac:dyDescent="0.25">
      <c r="H1587" t="s">
        <v>3106</v>
      </c>
    </row>
    <row r="1588" spans="1:30" x14ac:dyDescent="0.25">
      <c r="A1588">
        <v>791</v>
      </c>
      <c r="B1588">
        <v>2197</v>
      </c>
      <c r="C1588" t="s">
        <v>3107</v>
      </c>
      <c r="D1588" t="s">
        <v>35</v>
      </c>
      <c r="E1588" t="s">
        <v>3108</v>
      </c>
      <c r="F1588" t="s">
        <v>3109</v>
      </c>
      <c r="G1588" t="str">
        <f>"201410012725"</f>
        <v>201410012725</v>
      </c>
      <c r="H1588" t="s">
        <v>2291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70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84</v>
      </c>
      <c r="W1588">
        <v>588</v>
      </c>
      <c r="X1588">
        <v>0</v>
      </c>
      <c r="Z1588">
        <v>0</v>
      </c>
      <c r="AA1588">
        <v>0</v>
      </c>
      <c r="AB1588">
        <v>0</v>
      </c>
      <c r="AC1588">
        <v>0</v>
      </c>
      <c r="AD1588" t="s">
        <v>3110</v>
      </c>
    </row>
    <row r="1589" spans="1:30" x14ac:dyDescent="0.25">
      <c r="H1589" t="s">
        <v>3111</v>
      </c>
    </row>
    <row r="1590" spans="1:30" x14ac:dyDescent="0.25">
      <c r="A1590">
        <v>792</v>
      </c>
      <c r="B1590">
        <v>4432</v>
      </c>
      <c r="C1590" t="s">
        <v>3112</v>
      </c>
      <c r="D1590" t="s">
        <v>3113</v>
      </c>
      <c r="E1590" t="s">
        <v>576</v>
      </c>
      <c r="F1590" t="s">
        <v>3114</v>
      </c>
      <c r="G1590" t="str">
        <f>"00354633"</f>
        <v>00354633</v>
      </c>
      <c r="H1590" t="s">
        <v>329</v>
      </c>
      <c r="I1590">
        <v>0</v>
      </c>
      <c r="J1590">
        <v>0</v>
      </c>
      <c r="K1590">
        <v>0</v>
      </c>
      <c r="L1590">
        <v>200</v>
      </c>
      <c r="M1590">
        <v>0</v>
      </c>
      <c r="N1590">
        <v>30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51</v>
      </c>
      <c r="W1590">
        <v>357</v>
      </c>
      <c r="X1590">
        <v>0</v>
      </c>
      <c r="Z1590">
        <v>0</v>
      </c>
      <c r="AA1590">
        <v>0</v>
      </c>
      <c r="AB1590">
        <v>0</v>
      </c>
      <c r="AC1590">
        <v>0</v>
      </c>
      <c r="AD1590" t="s">
        <v>3115</v>
      </c>
    </row>
    <row r="1591" spans="1:30" x14ac:dyDescent="0.25">
      <c r="H1591" t="s">
        <v>3116</v>
      </c>
    </row>
    <row r="1592" spans="1:30" x14ac:dyDescent="0.25">
      <c r="A1592">
        <v>793</v>
      </c>
      <c r="B1592">
        <v>5210</v>
      </c>
      <c r="C1592" t="s">
        <v>3117</v>
      </c>
      <c r="D1592" t="s">
        <v>1753</v>
      </c>
      <c r="E1592" t="s">
        <v>148</v>
      </c>
      <c r="F1592" t="s">
        <v>3118</v>
      </c>
      <c r="G1592" t="str">
        <f>"00368867"</f>
        <v>00368867</v>
      </c>
      <c r="H1592">
        <v>660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30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76</v>
      </c>
      <c r="W1592">
        <v>532</v>
      </c>
      <c r="X1592">
        <v>0</v>
      </c>
      <c r="Z1592">
        <v>0</v>
      </c>
      <c r="AA1592">
        <v>0</v>
      </c>
      <c r="AB1592">
        <v>8</v>
      </c>
      <c r="AC1592">
        <v>136</v>
      </c>
      <c r="AD1592">
        <v>1358</v>
      </c>
    </row>
    <row r="1593" spans="1:30" x14ac:dyDescent="0.25">
      <c r="H1593" t="s">
        <v>3119</v>
      </c>
    </row>
    <row r="1594" spans="1:30" x14ac:dyDescent="0.25">
      <c r="A1594">
        <v>794</v>
      </c>
      <c r="B1594">
        <v>4023</v>
      </c>
      <c r="C1594" t="s">
        <v>3120</v>
      </c>
      <c r="D1594" t="s">
        <v>59</v>
      </c>
      <c r="E1594" t="s">
        <v>119</v>
      </c>
      <c r="F1594" t="s">
        <v>3121</v>
      </c>
      <c r="G1594" t="str">
        <f>"00335058"</f>
        <v>00335058</v>
      </c>
      <c r="H1594">
        <v>550</v>
      </c>
      <c r="I1594">
        <v>150</v>
      </c>
      <c r="J1594">
        <v>0</v>
      </c>
      <c r="K1594">
        <v>0</v>
      </c>
      <c r="L1594">
        <v>0</v>
      </c>
      <c r="M1594">
        <v>0</v>
      </c>
      <c r="N1594">
        <v>70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84</v>
      </c>
      <c r="W1594">
        <v>588</v>
      </c>
      <c r="X1594">
        <v>0</v>
      </c>
      <c r="Z1594">
        <v>0</v>
      </c>
      <c r="AA1594">
        <v>0</v>
      </c>
      <c r="AB1594">
        <v>0</v>
      </c>
      <c r="AC1594">
        <v>0</v>
      </c>
      <c r="AD1594">
        <v>1358</v>
      </c>
    </row>
    <row r="1595" spans="1:30" x14ac:dyDescent="0.25">
      <c r="H1595" t="s">
        <v>3122</v>
      </c>
    </row>
    <row r="1596" spans="1:30" x14ac:dyDescent="0.25">
      <c r="A1596">
        <v>795</v>
      </c>
      <c r="B1596">
        <v>2794</v>
      </c>
      <c r="C1596" t="s">
        <v>3123</v>
      </c>
      <c r="D1596" t="s">
        <v>2567</v>
      </c>
      <c r="E1596" t="s">
        <v>66</v>
      </c>
      <c r="F1596" t="s">
        <v>3124</v>
      </c>
      <c r="G1596" t="str">
        <f>"00249643"</f>
        <v>00249643</v>
      </c>
      <c r="H1596" t="s">
        <v>906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70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84</v>
      </c>
      <c r="W1596">
        <v>588</v>
      </c>
      <c r="X1596">
        <v>0</v>
      </c>
      <c r="Z1596">
        <v>0</v>
      </c>
      <c r="AA1596">
        <v>0</v>
      </c>
      <c r="AB1596">
        <v>0</v>
      </c>
      <c r="AC1596">
        <v>0</v>
      </c>
      <c r="AD1596" t="s">
        <v>3125</v>
      </c>
    </row>
    <row r="1597" spans="1:30" x14ac:dyDescent="0.25">
      <c r="H1597" t="s">
        <v>3126</v>
      </c>
    </row>
    <row r="1598" spans="1:30" x14ac:dyDescent="0.25">
      <c r="A1598">
        <v>796</v>
      </c>
      <c r="B1598">
        <v>5318</v>
      </c>
      <c r="C1598" t="s">
        <v>3127</v>
      </c>
      <c r="D1598" t="s">
        <v>142</v>
      </c>
      <c r="E1598" t="s">
        <v>3128</v>
      </c>
      <c r="F1598" t="s">
        <v>3129</v>
      </c>
      <c r="G1598" t="str">
        <f>"00271036"</f>
        <v>00271036</v>
      </c>
      <c r="H1598" t="s">
        <v>871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70</v>
      </c>
      <c r="O1598">
        <v>30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80</v>
      </c>
      <c r="W1598">
        <v>560</v>
      </c>
      <c r="X1598">
        <v>0</v>
      </c>
      <c r="Z1598">
        <v>0</v>
      </c>
      <c r="AA1598">
        <v>0</v>
      </c>
      <c r="AB1598">
        <v>0</v>
      </c>
      <c r="AC1598">
        <v>0</v>
      </c>
      <c r="AD1598" t="s">
        <v>3130</v>
      </c>
    </row>
    <row r="1599" spans="1:30" x14ac:dyDescent="0.25">
      <c r="H1599" t="s">
        <v>3131</v>
      </c>
    </row>
    <row r="1600" spans="1:30" x14ac:dyDescent="0.25">
      <c r="A1600">
        <v>797</v>
      </c>
      <c r="B1600">
        <v>1757</v>
      </c>
      <c r="C1600" t="s">
        <v>3132</v>
      </c>
      <c r="D1600" t="s">
        <v>3133</v>
      </c>
      <c r="E1600" t="s">
        <v>643</v>
      </c>
      <c r="F1600" t="s">
        <v>3134</v>
      </c>
      <c r="G1600" t="str">
        <f>"00281214"</f>
        <v>00281214</v>
      </c>
      <c r="H1600">
        <v>737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84</v>
      </c>
      <c r="W1600">
        <v>588</v>
      </c>
      <c r="X1600">
        <v>0</v>
      </c>
      <c r="Z1600">
        <v>1</v>
      </c>
      <c r="AA1600">
        <v>0</v>
      </c>
      <c r="AB1600">
        <v>0</v>
      </c>
      <c r="AC1600">
        <v>0</v>
      </c>
      <c r="AD1600">
        <v>1355</v>
      </c>
    </row>
    <row r="1601" spans="1:30" x14ac:dyDescent="0.25">
      <c r="H1601" t="s">
        <v>3135</v>
      </c>
    </row>
    <row r="1602" spans="1:30" x14ac:dyDescent="0.25">
      <c r="A1602">
        <v>798</v>
      </c>
      <c r="B1602">
        <v>1283</v>
      </c>
      <c r="C1602" t="s">
        <v>3136</v>
      </c>
      <c r="D1602" t="s">
        <v>1910</v>
      </c>
      <c r="E1602" t="s">
        <v>28</v>
      </c>
      <c r="F1602" t="s">
        <v>3137</v>
      </c>
      <c r="G1602" t="str">
        <f>"00020231"</f>
        <v>00020231</v>
      </c>
      <c r="H1602" t="s">
        <v>1370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70</v>
      </c>
      <c r="O1602">
        <v>0</v>
      </c>
      <c r="P1602">
        <v>0</v>
      </c>
      <c r="Q1602">
        <v>70</v>
      </c>
      <c r="R1602">
        <v>0</v>
      </c>
      <c r="S1602">
        <v>0</v>
      </c>
      <c r="T1602">
        <v>0</v>
      </c>
      <c r="U1602">
        <v>0</v>
      </c>
      <c r="V1602">
        <v>64</v>
      </c>
      <c r="W1602">
        <v>448</v>
      </c>
      <c r="X1602">
        <v>0</v>
      </c>
      <c r="Z1602">
        <v>0</v>
      </c>
      <c r="AA1602">
        <v>0</v>
      </c>
      <c r="AB1602">
        <v>0</v>
      </c>
      <c r="AC1602">
        <v>0</v>
      </c>
      <c r="AD1602" t="s">
        <v>3138</v>
      </c>
    </row>
    <row r="1603" spans="1:30" x14ac:dyDescent="0.25">
      <c r="H1603" t="s">
        <v>3139</v>
      </c>
    </row>
    <row r="1604" spans="1:30" x14ac:dyDescent="0.25">
      <c r="A1604">
        <v>799</v>
      </c>
      <c r="B1604">
        <v>3279</v>
      </c>
      <c r="C1604" t="s">
        <v>3140</v>
      </c>
      <c r="D1604" t="s">
        <v>203</v>
      </c>
      <c r="E1604" t="s">
        <v>300</v>
      </c>
      <c r="F1604" t="s">
        <v>3141</v>
      </c>
      <c r="G1604" t="str">
        <f>"00348129"</f>
        <v>00348129</v>
      </c>
      <c r="H1604" t="s">
        <v>1059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50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80</v>
      </c>
      <c r="W1604">
        <v>560</v>
      </c>
      <c r="X1604">
        <v>0</v>
      </c>
      <c r="Z1604">
        <v>0</v>
      </c>
      <c r="AA1604">
        <v>0</v>
      </c>
      <c r="AB1604">
        <v>0</v>
      </c>
      <c r="AC1604">
        <v>0</v>
      </c>
      <c r="AD1604" t="s">
        <v>3138</v>
      </c>
    </row>
    <row r="1605" spans="1:30" x14ac:dyDescent="0.25">
      <c r="H1605">
        <v>1070</v>
      </c>
    </row>
    <row r="1606" spans="1:30" x14ac:dyDescent="0.25">
      <c r="A1606">
        <v>800</v>
      </c>
      <c r="B1606">
        <v>4473</v>
      </c>
      <c r="C1606" t="s">
        <v>3142</v>
      </c>
      <c r="D1606" t="s">
        <v>34</v>
      </c>
      <c r="E1606" t="s">
        <v>135</v>
      </c>
      <c r="F1606" t="s">
        <v>3143</v>
      </c>
      <c r="G1606" t="str">
        <f>"00356204"</f>
        <v>00356204</v>
      </c>
      <c r="H1606" t="s">
        <v>3144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30</v>
      </c>
      <c r="O1606">
        <v>30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84</v>
      </c>
      <c r="W1606">
        <v>588</v>
      </c>
      <c r="X1606">
        <v>0</v>
      </c>
      <c r="Z1606">
        <v>0</v>
      </c>
      <c r="AA1606">
        <v>0</v>
      </c>
      <c r="AB1606">
        <v>0</v>
      </c>
      <c r="AC1606">
        <v>0</v>
      </c>
      <c r="AD1606" t="s">
        <v>3145</v>
      </c>
    </row>
    <row r="1607" spans="1:30" x14ac:dyDescent="0.25">
      <c r="H1607" t="s">
        <v>3146</v>
      </c>
    </row>
    <row r="1608" spans="1:30" x14ac:dyDescent="0.25">
      <c r="A1608">
        <v>801</v>
      </c>
      <c r="B1608">
        <v>1937</v>
      </c>
      <c r="C1608" t="s">
        <v>3147</v>
      </c>
      <c r="D1608" t="s">
        <v>59</v>
      </c>
      <c r="E1608" t="s">
        <v>108</v>
      </c>
      <c r="F1608" t="s">
        <v>3148</v>
      </c>
      <c r="G1608" t="str">
        <f>"00244179"</f>
        <v>00244179</v>
      </c>
      <c r="H1608">
        <v>715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50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84</v>
      </c>
      <c r="W1608">
        <v>588</v>
      </c>
      <c r="X1608">
        <v>0</v>
      </c>
      <c r="Z1608">
        <v>0</v>
      </c>
      <c r="AA1608">
        <v>0</v>
      </c>
      <c r="AB1608">
        <v>0</v>
      </c>
      <c r="AC1608">
        <v>0</v>
      </c>
      <c r="AD1608">
        <v>1353</v>
      </c>
    </row>
    <row r="1609" spans="1:30" x14ac:dyDescent="0.25">
      <c r="H1609" t="s">
        <v>3149</v>
      </c>
    </row>
    <row r="1610" spans="1:30" x14ac:dyDescent="0.25">
      <c r="A1610">
        <v>802</v>
      </c>
      <c r="B1610">
        <v>5218</v>
      </c>
      <c r="C1610" t="s">
        <v>3150</v>
      </c>
      <c r="D1610" t="s">
        <v>357</v>
      </c>
      <c r="E1610" t="s">
        <v>300</v>
      </c>
      <c r="F1610" t="s">
        <v>3151</v>
      </c>
      <c r="G1610" t="str">
        <f>"00183170"</f>
        <v>00183170</v>
      </c>
      <c r="H1610" t="s">
        <v>458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30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70</v>
      </c>
      <c r="U1610">
        <v>0</v>
      </c>
      <c r="V1610">
        <v>84</v>
      </c>
      <c r="W1610">
        <v>588</v>
      </c>
      <c r="X1610">
        <v>0</v>
      </c>
      <c r="Z1610">
        <v>0</v>
      </c>
      <c r="AA1610">
        <v>0</v>
      </c>
      <c r="AB1610">
        <v>0</v>
      </c>
      <c r="AC1610">
        <v>0</v>
      </c>
      <c r="AD1610" t="s">
        <v>3152</v>
      </c>
    </row>
    <row r="1611" spans="1:30" x14ac:dyDescent="0.25">
      <c r="H1611" t="s">
        <v>3153</v>
      </c>
    </row>
    <row r="1612" spans="1:30" x14ac:dyDescent="0.25">
      <c r="A1612">
        <v>803</v>
      </c>
      <c r="B1612">
        <v>3836</v>
      </c>
      <c r="C1612" t="s">
        <v>3154</v>
      </c>
      <c r="D1612" t="s">
        <v>327</v>
      </c>
      <c r="E1612" t="s">
        <v>583</v>
      </c>
      <c r="F1612" t="s">
        <v>3155</v>
      </c>
      <c r="G1612" t="str">
        <f>"201504001095"</f>
        <v>201504001095</v>
      </c>
      <c r="H1612">
        <v>693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70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84</v>
      </c>
      <c r="W1612">
        <v>588</v>
      </c>
      <c r="X1612">
        <v>0</v>
      </c>
      <c r="Z1612">
        <v>0</v>
      </c>
      <c r="AA1612">
        <v>0</v>
      </c>
      <c r="AB1612">
        <v>0</v>
      </c>
      <c r="AC1612">
        <v>0</v>
      </c>
      <c r="AD1612">
        <v>1351</v>
      </c>
    </row>
    <row r="1613" spans="1:30" x14ac:dyDescent="0.25">
      <c r="H1613" t="s">
        <v>3156</v>
      </c>
    </row>
    <row r="1614" spans="1:30" x14ac:dyDescent="0.25">
      <c r="A1614">
        <v>804</v>
      </c>
      <c r="B1614">
        <v>2369</v>
      </c>
      <c r="C1614" t="s">
        <v>3157</v>
      </c>
      <c r="D1614" t="s">
        <v>28</v>
      </c>
      <c r="E1614" t="s">
        <v>35</v>
      </c>
      <c r="F1614" t="s">
        <v>3158</v>
      </c>
      <c r="G1614" t="str">
        <f>"00040641"</f>
        <v>00040641</v>
      </c>
      <c r="H1614" t="s">
        <v>962</v>
      </c>
      <c r="I1614">
        <v>0</v>
      </c>
      <c r="J1614">
        <v>0</v>
      </c>
      <c r="K1614">
        <v>0</v>
      </c>
      <c r="L1614">
        <v>200</v>
      </c>
      <c r="M1614">
        <v>0</v>
      </c>
      <c r="N1614">
        <v>30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36</v>
      </c>
      <c r="W1614">
        <v>252</v>
      </c>
      <c r="X1614">
        <v>0</v>
      </c>
      <c r="Z1614">
        <v>0</v>
      </c>
      <c r="AA1614">
        <v>0</v>
      </c>
      <c r="AB1614">
        <v>8</v>
      </c>
      <c r="AC1614">
        <v>136</v>
      </c>
      <c r="AD1614" t="s">
        <v>3159</v>
      </c>
    </row>
    <row r="1615" spans="1:30" x14ac:dyDescent="0.25">
      <c r="H1615" t="s">
        <v>3160</v>
      </c>
    </row>
    <row r="1616" spans="1:30" x14ac:dyDescent="0.25">
      <c r="A1616">
        <v>805</v>
      </c>
      <c r="B1616">
        <v>394</v>
      </c>
      <c r="C1616" t="s">
        <v>3161</v>
      </c>
      <c r="D1616" t="s">
        <v>373</v>
      </c>
      <c r="E1616" t="s">
        <v>28</v>
      </c>
      <c r="F1616" t="s">
        <v>3162</v>
      </c>
      <c r="G1616" t="str">
        <f>"201504001169"</f>
        <v>201504001169</v>
      </c>
      <c r="H1616" t="s">
        <v>3163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70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84</v>
      </c>
      <c r="W1616">
        <v>588</v>
      </c>
      <c r="X1616">
        <v>0</v>
      </c>
      <c r="Z1616">
        <v>0</v>
      </c>
      <c r="AA1616">
        <v>0</v>
      </c>
      <c r="AB1616">
        <v>0</v>
      </c>
      <c r="AC1616">
        <v>0</v>
      </c>
      <c r="AD1616" t="s">
        <v>3164</v>
      </c>
    </row>
    <row r="1617" spans="1:30" x14ac:dyDescent="0.25">
      <c r="H1617" t="s">
        <v>3165</v>
      </c>
    </row>
    <row r="1618" spans="1:30" x14ac:dyDescent="0.25">
      <c r="A1618">
        <v>806</v>
      </c>
      <c r="B1618">
        <v>4024</v>
      </c>
      <c r="C1618" t="s">
        <v>3166</v>
      </c>
      <c r="D1618" t="s">
        <v>225</v>
      </c>
      <c r="E1618" t="s">
        <v>780</v>
      </c>
      <c r="F1618" t="s">
        <v>3167</v>
      </c>
      <c r="G1618" t="str">
        <f>"00020136"</f>
        <v>00020136</v>
      </c>
      <c r="H1618" t="s">
        <v>813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84</v>
      </c>
      <c r="W1618">
        <v>588</v>
      </c>
      <c r="X1618">
        <v>0</v>
      </c>
      <c r="Z1618">
        <v>0</v>
      </c>
      <c r="AA1618">
        <v>0</v>
      </c>
      <c r="AB1618">
        <v>0</v>
      </c>
      <c r="AC1618">
        <v>0</v>
      </c>
      <c r="AD1618" t="s">
        <v>3168</v>
      </c>
    </row>
    <row r="1619" spans="1:30" x14ac:dyDescent="0.25">
      <c r="H1619" t="s">
        <v>3169</v>
      </c>
    </row>
    <row r="1620" spans="1:30" x14ac:dyDescent="0.25">
      <c r="A1620">
        <v>807</v>
      </c>
      <c r="B1620">
        <v>3758</v>
      </c>
      <c r="C1620" t="s">
        <v>3170</v>
      </c>
      <c r="D1620" t="s">
        <v>423</v>
      </c>
      <c r="E1620" t="s">
        <v>1361</v>
      </c>
      <c r="F1620" t="s">
        <v>3171</v>
      </c>
      <c r="G1620" t="str">
        <f>"00143375"</f>
        <v>00143375</v>
      </c>
      <c r="H1620" t="s">
        <v>354</v>
      </c>
      <c r="I1620">
        <v>0</v>
      </c>
      <c r="J1620">
        <v>0</v>
      </c>
      <c r="K1620">
        <v>0</v>
      </c>
      <c r="L1620">
        <v>200</v>
      </c>
      <c r="M1620">
        <v>0</v>
      </c>
      <c r="N1620">
        <v>50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44</v>
      </c>
      <c r="W1620">
        <v>308</v>
      </c>
      <c r="X1620">
        <v>0</v>
      </c>
      <c r="Z1620">
        <v>0</v>
      </c>
      <c r="AA1620">
        <v>0</v>
      </c>
      <c r="AB1620">
        <v>0</v>
      </c>
      <c r="AC1620">
        <v>0</v>
      </c>
      <c r="AD1620" t="s">
        <v>3172</v>
      </c>
    </row>
    <row r="1621" spans="1:30" x14ac:dyDescent="0.25">
      <c r="H1621" t="s">
        <v>3173</v>
      </c>
    </row>
    <row r="1622" spans="1:30" x14ac:dyDescent="0.25">
      <c r="A1622">
        <v>808</v>
      </c>
      <c r="B1622">
        <v>4677</v>
      </c>
      <c r="C1622" t="s">
        <v>3174</v>
      </c>
      <c r="D1622" t="s">
        <v>28</v>
      </c>
      <c r="E1622" t="s">
        <v>15</v>
      </c>
      <c r="F1622" t="s">
        <v>3175</v>
      </c>
      <c r="G1622" t="str">
        <f>"201412006274"</f>
        <v>201412006274</v>
      </c>
      <c r="H1622" t="s">
        <v>61</v>
      </c>
      <c r="I1622">
        <v>0</v>
      </c>
      <c r="J1622">
        <v>0</v>
      </c>
      <c r="K1622">
        <v>0</v>
      </c>
      <c r="L1622">
        <v>260</v>
      </c>
      <c r="M1622">
        <v>0</v>
      </c>
      <c r="N1622">
        <v>70</v>
      </c>
      <c r="O1622">
        <v>30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24</v>
      </c>
      <c r="W1622">
        <v>168</v>
      </c>
      <c r="X1622">
        <v>0</v>
      </c>
      <c r="Z1622">
        <v>0</v>
      </c>
      <c r="AA1622">
        <v>0</v>
      </c>
      <c r="AB1622">
        <v>0</v>
      </c>
      <c r="AC1622">
        <v>0</v>
      </c>
      <c r="AD1622" t="s">
        <v>3176</v>
      </c>
    </row>
    <row r="1623" spans="1:30" x14ac:dyDescent="0.25">
      <c r="H1623" t="s">
        <v>3177</v>
      </c>
    </row>
    <row r="1624" spans="1:30" x14ac:dyDescent="0.25">
      <c r="A1624">
        <v>809</v>
      </c>
      <c r="B1624">
        <v>397</v>
      </c>
      <c r="C1624" t="s">
        <v>3178</v>
      </c>
      <c r="D1624" t="s">
        <v>135</v>
      </c>
      <c r="E1624" t="s">
        <v>59</v>
      </c>
      <c r="F1624" t="s">
        <v>3179</v>
      </c>
      <c r="G1624" t="str">
        <f>"00214355"</f>
        <v>00214355</v>
      </c>
      <c r="H1624" t="s">
        <v>1694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70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84</v>
      </c>
      <c r="W1624">
        <v>588</v>
      </c>
      <c r="X1624">
        <v>0</v>
      </c>
      <c r="Z1624">
        <v>0</v>
      </c>
      <c r="AA1624">
        <v>0</v>
      </c>
      <c r="AB1624">
        <v>0</v>
      </c>
      <c r="AC1624">
        <v>0</v>
      </c>
      <c r="AD1624" t="s">
        <v>3180</v>
      </c>
    </row>
    <row r="1625" spans="1:30" x14ac:dyDescent="0.25">
      <c r="H1625" t="s">
        <v>3181</v>
      </c>
    </row>
    <row r="1626" spans="1:30" x14ac:dyDescent="0.25">
      <c r="A1626">
        <v>810</v>
      </c>
      <c r="B1626">
        <v>397</v>
      </c>
      <c r="C1626" t="s">
        <v>3178</v>
      </c>
      <c r="D1626" t="s">
        <v>135</v>
      </c>
      <c r="E1626" t="s">
        <v>59</v>
      </c>
      <c r="F1626" t="s">
        <v>3179</v>
      </c>
      <c r="G1626" t="str">
        <f>"00214355"</f>
        <v>00214355</v>
      </c>
      <c r="H1626" t="s">
        <v>1694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70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84</v>
      </c>
      <c r="W1626">
        <v>588</v>
      </c>
      <c r="X1626">
        <v>6</v>
      </c>
      <c r="Y1626">
        <v>1084</v>
      </c>
      <c r="Z1626">
        <v>0</v>
      </c>
      <c r="AA1626">
        <v>0</v>
      </c>
      <c r="AB1626">
        <v>0</v>
      </c>
      <c r="AC1626">
        <v>0</v>
      </c>
      <c r="AD1626" t="s">
        <v>3180</v>
      </c>
    </row>
    <row r="1627" spans="1:30" x14ac:dyDescent="0.25">
      <c r="H1627" t="s">
        <v>3181</v>
      </c>
    </row>
    <row r="1628" spans="1:30" x14ac:dyDescent="0.25">
      <c r="A1628">
        <v>811</v>
      </c>
      <c r="B1628">
        <v>1324</v>
      </c>
      <c r="C1628" t="s">
        <v>3182</v>
      </c>
      <c r="D1628" t="s">
        <v>135</v>
      </c>
      <c r="E1628" t="s">
        <v>408</v>
      </c>
      <c r="F1628" t="s">
        <v>3183</v>
      </c>
      <c r="G1628" t="str">
        <f>"201406001705"</f>
        <v>201406001705</v>
      </c>
      <c r="H1628" t="s">
        <v>891</v>
      </c>
      <c r="I1628">
        <v>150</v>
      </c>
      <c r="J1628">
        <v>0</v>
      </c>
      <c r="K1628">
        <v>0</v>
      </c>
      <c r="L1628">
        <v>0</v>
      </c>
      <c r="M1628">
        <v>0</v>
      </c>
      <c r="N1628">
        <v>50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61</v>
      </c>
      <c r="W1628">
        <v>427</v>
      </c>
      <c r="X1628">
        <v>0</v>
      </c>
      <c r="Z1628">
        <v>0</v>
      </c>
      <c r="AA1628">
        <v>0</v>
      </c>
      <c r="AB1628">
        <v>0</v>
      </c>
      <c r="AC1628">
        <v>0</v>
      </c>
      <c r="AD1628" t="s">
        <v>3184</v>
      </c>
    </row>
    <row r="1629" spans="1:30" x14ac:dyDescent="0.25">
      <c r="H1629" t="s">
        <v>32</v>
      </c>
    </row>
    <row r="1630" spans="1:30" x14ac:dyDescent="0.25">
      <c r="A1630">
        <v>812</v>
      </c>
      <c r="B1630">
        <v>1222</v>
      </c>
      <c r="C1630" t="s">
        <v>3185</v>
      </c>
      <c r="D1630" t="s">
        <v>174</v>
      </c>
      <c r="E1630" t="s">
        <v>135</v>
      </c>
      <c r="F1630" t="s">
        <v>3186</v>
      </c>
      <c r="G1630" t="str">
        <f>"00261346"</f>
        <v>00261346</v>
      </c>
      <c r="H1630" t="s">
        <v>1548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30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84</v>
      </c>
      <c r="W1630">
        <v>588</v>
      </c>
      <c r="X1630">
        <v>0</v>
      </c>
      <c r="Z1630">
        <v>0</v>
      </c>
      <c r="AA1630">
        <v>0</v>
      </c>
      <c r="AB1630">
        <v>0</v>
      </c>
      <c r="AC1630">
        <v>0</v>
      </c>
      <c r="AD1630" t="s">
        <v>3187</v>
      </c>
    </row>
    <row r="1631" spans="1:30" x14ac:dyDescent="0.25">
      <c r="H1631">
        <v>1089</v>
      </c>
    </row>
    <row r="1632" spans="1:30" x14ac:dyDescent="0.25">
      <c r="A1632">
        <v>813</v>
      </c>
      <c r="B1632">
        <v>1016</v>
      </c>
      <c r="C1632" t="s">
        <v>3188</v>
      </c>
      <c r="D1632" t="s">
        <v>35</v>
      </c>
      <c r="E1632" t="s">
        <v>148</v>
      </c>
      <c r="F1632" t="s">
        <v>3189</v>
      </c>
      <c r="G1632" t="str">
        <f>"201410012770"</f>
        <v>201410012770</v>
      </c>
      <c r="H1632" t="s">
        <v>244</v>
      </c>
      <c r="I1632">
        <v>0</v>
      </c>
      <c r="J1632">
        <v>0</v>
      </c>
      <c r="K1632">
        <v>0</v>
      </c>
      <c r="L1632">
        <v>200</v>
      </c>
      <c r="M1632">
        <v>0</v>
      </c>
      <c r="N1632">
        <v>70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40</v>
      </c>
      <c r="W1632">
        <v>280</v>
      </c>
      <c r="X1632">
        <v>0</v>
      </c>
      <c r="Z1632">
        <v>1</v>
      </c>
      <c r="AA1632">
        <v>0</v>
      </c>
      <c r="AB1632">
        <v>0</v>
      </c>
      <c r="AC1632">
        <v>0</v>
      </c>
      <c r="AD1632" t="s">
        <v>3190</v>
      </c>
    </row>
    <row r="1633" spans="1:30" x14ac:dyDescent="0.25">
      <c r="H1633" t="s">
        <v>3191</v>
      </c>
    </row>
    <row r="1634" spans="1:30" x14ac:dyDescent="0.25">
      <c r="A1634">
        <v>814</v>
      </c>
      <c r="B1634">
        <v>1715</v>
      </c>
      <c r="C1634" t="s">
        <v>1244</v>
      </c>
      <c r="D1634" t="s">
        <v>389</v>
      </c>
      <c r="E1634" t="s">
        <v>28</v>
      </c>
      <c r="F1634" t="s">
        <v>3192</v>
      </c>
      <c r="G1634" t="str">
        <f>"201511008945"</f>
        <v>201511008945</v>
      </c>
      <c r="H1634" t="s">
        <v>558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70</v>
      </c>
      <c r="O1634">
        <v>30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63</v>
      </c>
      <c r="W1634">
        <v>441</v>
      </c>
      <c r="X1634">
        <v>0</v>
      </c>
      <c r="Z1634">
        <v>0</v>
      </c>
      <c r="AA1634">
        <v>0</v>
      </c>
      <c r="AB1634">
        <v>0</v>
      </c>
      <c r="AC1634">
        <v>0</v>
      </c>
      <c r="AD1634" t="s">
        <v>3193</v>
      </c>
    </row>
    <row r="1635" spans="1:30" x14ac:dyDescent="0.25">
      <c r="H1635" t="s">
        <v>3194</v>
      </c>
    </row>
    <row r="1636" spans="1:30" x14ac:dyDescent="0.25">
      <c r="A1636">
        <v>815</v>
      </c>
      <c r="B1636">
        <v>3092</v>
      </c>
      <c r="C1636" t="s">
        <v>3195</v>
      </c>
      <c r="D1636" t="s">
        <v>293</v>
      </c>
      <c r="E1636" t="s">
        <v>77</v>
      </c>
      <c r="F1636" t="s">
        <v>3196</v>
      </c>
      <c r="G1636" t="str">
        <f>"00360824"</f>
        <v>00360824</v>
      </c>
      <c r="H1636">
        <v>704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50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84</v>
      </c>
      <c r="W1636">
        <v>588</v>
      </c>
      <c r="X1636">
        <v>0</v>
      </c>
      <c r="Z1636">
        <v>0</v>
      </c>
      <c r="AA1636">
        <v>0</v>
      </c>
      <c r="AB1636">
        <v>0</v>
      </c>
      <c r="AC1636">
        <v>0</v>
      </c>
      <c r="AD1636">
        <v>1342</v>
      </c>
    </row>
    <row r="1637" spans="1:30" x14ac:dyDescent="0.25">
      <c r="H1637" t="s">
        <v>3197</v>
      </c>
    </row>
    <row r="1638" spans="1:30" x14ac:dyDescent="0.25">
      <c r="A1638">
        <v>816</v>
      </c>
      <c r="B1638">
        <v>4635</v>
      </c>
      <c r="C1638" t="s">
        <v>3198</v>
      </c>
      <c r="D1638" t="s">
        <v>89</v>
      </c>
      <c r="E1638" t="s">
        <v>408</v>
      </c>
      <c r="F1638" t="s">
        <v>3199</v>
      </c>
      <c r="G1638" t="str">
        <f>"00356993"</f>
        <v>00356993</v>
      </c>
      <c r="H1638" t="s">
        <v>1107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70</v>
      </c>
      <c r="O1638">
        <v>0</v>
      </c>
      <c r="P1638">
        <v>30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43</v>
      </c>
      <c r="W1638">
        <v>301</v>
      </c>
      <c r="X1638">
        <v>0</v>
      </c>
      <c r="Z1638">
        <v>0</v>
      </c>
      <c r="AA1638">
        <v>0</v>
      </c>
      <c r="AB1638">
        <v>8</v>
      </c>
      <c r="AC1638">
        <v>136</v>
      </c>
      <c r="AD1638" t="s">
        <v>3200</v>
      </c>
    </row>
    <row r="1639" spans="1:30" x14ac:dyDescent="0.25">
      <c r="H1639" t="s">
        <v>1671</v>
      </c>
    </row>
    <row r="1640" spans="1:30" x14ac:dyDescent="0.25">
      <c r="A1640">
        <v>817</v>
      </c>
      <c r="B1640">
        <v>3661</v>
      </c>
      <c r="C1640" t="s">
        <v>3201</v>
      </c>
      <c r="D1640" t="s">
        <v>1129</v>
      </c>
      <c r="E1640" t="s">
        <v>66</v>
      </c>
      <c r="F1640" t="s">
        <v>3202</v>
      </c>
      <c r="G1640" t="str">
        <f>"00368348"</f>
        <v>00368348</v>
      </c>
      <c r="H1640" t="s">
        <v>1070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70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84</v>
      </c>
      <c r="W1640">
        <v>588</v>
      </c>
      <c r="X1640">
        <v>0</v>
      </c>
      <c r="Z1640">
        <v>0</v>
      </c>
      <c r="AA1640">
        <v>0</v>
      </c>
      <c r="AB1640">
        <v>0</v>
      </c>
      <c r="AC1640">
        <v>0</v>
      </c>
      <c r="AD1640" t="s">
        <v>3200</v>
      </c>
    </row>
    <row r="1641" spans="1:30" x14ac:dyDescent="0.25">
      <c r="H1641">
        <v>1089</v>
      </c>
    </row>
    <row r="1642" spans="1:30" x14ac:dyDescent="0.25">
      <c r="A1642">
        <v>818</v>
      </c>
      <c r="B1642">
        <v>4875</v>
      </c>
      <c r="C1642" t="s">
        <v>3203</v>
      </c>
      <c r="D1642" t="s">
        <v>3204</v>
      </c>
      <c r="E1642" t="s">
        <v>3205</v>
      </c>
      <c r="F1642" t="s">
        <v>3206</v>
      </c>
      <c r="G1642" t="str">
        <f>"00144020"</f>
        <v>00144020</v>
      </c>
      <c r="H1642" t="s">
        <v>2165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30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84</v>
      </c>
      <c r="W1642">
        <v>588</v>
      </c>
      <c r="X1642">
        <v>0</v>
      </c>
      <c r="Z1642">
        <v>0</v>
      </c>
      <c r="AA1642">
        <v>0</v>
      </c>
      <c r="AB1642">
        <v>0</v>
      </c>
      <c r="AC1642">
        <v>0</v>
      </c>
      <c r="AD1642" t="s">
        <v>3207</v>
      </c>
    </row>
    <row r="1643" spans="1:30" x14ac:dyDescent="0.25">
      <c r="H1643">
        <v>1089</v>
      </c>
    </row>
    <row r="1644" spans="1:30" x14ac:dyDescent="0.25">
      <c r="A1644">
        <v>819</v>
      </c>
      <c r="B1644">
        <v>3542</v>
      </c>
      <c r="C1644" t="s">
        <v>930</v>
      </c>
      <c r="D1644" t="s">
        <v>66</v>
      </c>
      <c r="E1644" t="s">
        <v>3208</v>
      </c>
      <c r="F1644" t="s">
        <v>3209</v>
      </c>
      <c r="G1644" t="str">
        <f>"00348801"</f>
        <v>00348801</v>
      </c>
      <c r="H1644">
        <v>682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70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84</v>
      </c>
      <c r="W1644">
        <v>588</v>
      </c>
      <c r="X1644">
        <v>0</v>
      </c>
      <c r="Z1644">
        <v>0</v>
      </c>
      <c r="AA1644">
        <v>0</v>
      </c>
      <c r="AB1644">
        <v>0</v>
      </c>
      <c r="AC1644">
        <v>0</v>
      </c>
      <c r="AD1644">
        <v>1340</v>
      </c>
    </row>
    <row r="1645" spans="1:30" x14ac:dyDescent="0.25">
      <c r="H1645" t="s">
        <v>3210</v>
      </c>
    </row>
    <row r="1646" spans="1:30" x14ac:dyDescent="0.25">
      <c r="A1646">
        <v>820</v>
      </c>
      <c r="B1646">
        <v>4276</v>
      </c>
      <c r="C1646" t="s">
        <v>3211</v>
      </c>
      <c r="D1646" t="s">
        <v>28</v>
      </c>
      <c r="E1646" t="s">
        <v>203</v>
      </c>
      <c r="F1646" t="s">
        <v>3212</v>
      </c>
      <c r="G1646" t="str">
        <f>"00358044"</f>
        <v>00358044</v>
      </c>
      <c r="H1646" t="s">
        <v>2176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84</v>
      </c>
      <c r="W1646">
        <v>588</v>
      </c>
      <c r="X1646">
        <v>0</v>
      </c>
      <c r="Z1646">
        <v>0</v>
      </c>
      <c r="AA1646">
        <v>0</v>
      </c>
      <c r="AB1646">
        <v>0</v>
      </c>
      <c r="AC1646">
        <v>0</v>
      </c>
      <c r="AD1646" t="s">
        <v>3213</v>
      </c>
    </row>
    <row r="1647" spans="1:30" x14ac:dyDescent="0.25">
      <c r="H1647" t="s">
        <v>3214</v>
      </c>
    </row>
    <row r="1648" spans="1:30" x14ac:dyDescent="0.25">
      <c r="A1648">
        <v>821</v>
      </c>
      <c r="B1648">
        <v>4966</v>
      </c>
      <c r="C1648" t="s">
        <v>3215</v>
      </c>
      <c r="D1648" t="s">
        <v>593</v>
      </c>
      <c r="E1648" t="s">
        <v>135</v>
      </c>
      <c r="F1648" t="s">
        <v>3216</v>
      </c>
      <c r="G1648" t="str">
        <f>"00366980"</f>
        <v>00366980</v>
      </c>
      <c r="H1648" t="s">
        <v>37</v>
      </c>
      <c r="I1648">
        <v>0</v>
      </c>
      <c r="J1648">
        <v>0</v>
      </c>
      <c r="K1648">
        <v>0</v>
      </c>
      <c r="L1648">
        <v>200</v>
      </c>
      <c r="M1648">
        <v>0</v>
      </c>
      <c r="N1648">
        <v>70</v>
      </c>
      <c r="O1648">
        <v>70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0</v>
      </c>
      <c r="X1648">
        <v>0</v>
      </c>
      <c r="Z1648">
        <v>0</v>
      </c>
      <c r="AA1648">
        <v>0</v>
      </c>
      <c r="AB1648">
        <v>0</v>
      </c>
      <c r="AC1648">
        <v>0</v>
      </c>
      <c r="AD1648" t="s">
        <v>3217</v>
      </c>
    </row>
    <row r="1649" spans="1:30" x14ac:dyDescent="0.25">
      <c r="H1649">
        <v>1072</v>
      </c>
    </row>
    <row r="1650" spans="1:30" x14ac:dyDescent="0.25">
      <c r="A1650">
        <v>822</v>
      </c>
      <c r="B1650">
        <v>1896</v>
      </c>
      <c r="C1650" t="s">
        <v>3218</v>
      </c>
      <c r="D1650" t="s">
        <v>59</v>
      </c>
      <c r="E1650" t="s">
        <v>28</v>
      </c>
      <c r="F1650" t="s">
        <v>3219</v>
      </c>
      <c r="G1650" t="str">
        <f>"201504003424"</f>
        <v>201504003424</v>
      </c>
      <c r="H1650" t="s">
        <v>1675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70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72</v>
      </c>
      <c r="W1650">
        <v>504</v>
      </c>
      <c r="X1650">
        <v>0</v>
      </c>
      <c r="Z1650">
        <v>0</v>
      </c>
      <c r="AA1650">
        <v>0</v>
      </c>
      <c r="AB1650">
        <v>0</v>
      </c>
      <c r="AC1650">
        <v>0</v>
      </c>
      <c r="AD1650" t="s">
        <v>3220</v>
      </c>
    </row>
    <row r="1651" spans="1:30" x14ac:dyDescent="0.25">
      <c r="H1651" t="s">
        <v>3221</v>
      </c>
    </row>
    <row r="1652" spans="1:30" x14ac:dyDescent="0.25">
      <c r="A1652">
        <v>823</v>
      </c>
      <c r="B1652">
        <v>219</v>
      </c>
      <c r="C1652" t="s">
        <v>2182</v>
      </c>
      <c r="D1652" t="s">
        <v>28</v>
      </c>
      <c r="E1652" t="s">
        <v>135</v>
      </c>
      <c r="F1652" t="s">
        <v>2183</v>
      </c>
      <c r="G1652" t="str">
        <f>"201511038887"</f>
        <v>201511038887</v>
      </c>
      <c r="H1652" t="s">
        <v>891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30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84</v>
      </c>
      <c r="W1652">
        <v>588</v>
      </c>
      <c r="X1652">
        <v>0</v>
      </c>
      <c r="Z1652">
        <v>0</v>
      </c>
      <c r="AA1652">
        <v>0</v>
      </c>
      <c r="AB1652">
        <v>0</v>
      </c>
      <c r="AC1652">
        <v>0</v>
      </c>
      <c r="AD1652" t="s">
        <v>3220</v>
      </c>
    </row>
    <row r="1653" spans="1:30" x14ac:dyDescent="0.25">
      <c r="H1653" t="s">
        <v>2185</v>
      </c>
    </row>
    <row r="1654" spans="1:30" x14ac:dyDescent="0.25">
      <c r="A1654">
        <v>824</v>
      </c>
      <c r="B1654">
        <v>4084</v>
      </c>
      <c r="C1654" t="s">
        <v>3222</v>
      </c>
      <c r="D1654" t="s">
        <v>135</v>
      </c>
      <c r="E1654" t="s">
        <v>506</v>
      </c>
      <c r="F1654" t="s">
        <v>3223</v>
      </c>
      <c r="G1654" t="str">
        <f>"201504003561"</f>
        <v>201504003561</v>
      </c>
      <c r="H1654" t="s">
        <v>274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30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81</v>
      </c>
      <c r="W1654">
        <v>567</v>
      </c>
      <c r="X1654">
        <v>0</v>
      </c>
      <c r="Z1654">
        <v>0</v>
      </c>
      <c r="AA1654">
        <v>0</v>
      </c>
      <c r="AB1654">
        <v>0</v>
      </c>
      <c r="AC1654">
        <v>0</v>
      </c>
      <c r="AD1654" t="s">
        <v>3224</v>
      </c>
    </row>
    <row r="1655" spans="1:30" x14ac:dyDescent="0.25">
      <c r="H1655" t="s">
        <v>3225</v>
      </c>
    </row>
    <row r="1656" spans="1:30" x14ac:dyDescent="0.25">
      <c r="A1656">
        <v>825</v>
      </c>
      <c r="B1656">
        <v>3904</v>
      </c>
      <c r="C1656" t="s">
        <v>3226</v>
      </c>
      <c r="D1656" t="s">
        <v>89</v>
      </c>
      <c r="E1656" t="s">
        <v>225</v>
      </c>
      <c r="F1656" t="s">
        <v>3227</v>
      </c>
      <c r="G1656" t="str">
        <f>"00357534"</f>
        <v>00357534</v>
      </c>
      <c r="H1656" t="s">
        <v>3228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30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84</v>
      </c>
      <c r="W1656">
        <v>588</v>
      </c>
      <c r="X1656">
        <v>0</v>
      </c>
      <c r="Z1656">
        <v>0</v>
      </c>
      <c r="AA1656">
        <v>0</v>
      </c>
      <c r="AB1656">
        <v>0</v>
      </c>
      <c r="AC1656">
        <v>0</v>
      </c>
      <c r="AD1656" t="s">
        <v>3229</v>
      </c>
    </row>
    <row r="1657" spans="1:30" x14ac:dyDescent="0.25">
      <c r="H1657" t="s">
        <v>3230</v>
      </c>
    </row>
    <row r="1658" spans="1:30" x14ac:dyDescent="0.25">
      <c r="A1658">
        <v>826</v>
      </c>
      <c r="B1658">
        <v>3904</v>
      </c>
      <c r="C1658" t="s">
        <v>3226</v>
      </c>
      <c r="D1658" t="s">
        <v>89</v>
      </c>
      <c r="E1658" t="s">
        <v>225</v>
      </c>
      <c r="F1658" t="s">
        <v>3227</v>
      </c>
      <c r="G1658" t="str">
        <f>"00357534"</f>
        <v>00357534</v>
      </c>
      <c r="H1658" t="s">
        <v>3228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30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84</v>
      </c>
      <c r="W1658">
        <v>588</v>
      </c>
      <c r="X1658">
        <v>6</v>
      </c>
      <c r="Y1658">
        <v>1080</v>
      </c>
      <c r="Z1658">
        <v>0</v>
      </c>
      <c r="AA1658">
        <v>0</v>
      </c>
      <c r="AB1658">
        <v>0</v>
      </c>
      <c r="AC1658">
        <v>0</v>
      </c>
      <c r="AD1658" t="s">
        <v>3229</v>
      </c>
    </row>
    <row r="1659" spans="1:30" x14ac:dyDescent="0.25">
      <c r="H1659" t="s">
        <v>3230</v>
      </c>
    </row>
    <row r="1660" spans="1:30" x14ac:dyDescent="0.25">
      <c r="A1660">
        <v>827</v>
      </c>
      <c r="B1660">
        <v>4058</v>
      </c>
      <c r="C1660" t="s">
        <v>3231</v>
      </c>
      <c r="D1660" t="s">
        <v>899</v>
      </c>
      <c r="E1660" t="s">
        <v>135</v>
      </c>
      <c r="F1660" t="s">
        <v>3232</v>
      </c>
      <c r="G1660" t="str">
        <f>"00028478"</f>
        <v>00028478</v>
      </c>
      <c r="H1660">
        <v>715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30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84</v>
      </c>
      <c r="W1660">
        <v>588</v>
      </c>
      <c r="X1660">
        <v>0</v>
      </c>
      <c r="Z1660">
        <v>0</v>
      </c>
      <c r="AA1660">
        <v>0</v>
      </c>
      <c r="AB1660">
        <v>0</v>
      </c>
      <c r="AC1660">
        <v>0</v>
      </c>
      <c r="AD1660">
        <v>1333</v>
      </c>
    </row>
    <row r="1661" spans="1:30" x14ac:dyDescent="0.25">
      <c r="H1661" t="s">
        <v>3233</v>
      </c>
    </row>
    <row r="1662" spans="1:30" x14ac:dyDescent="0.25">
      <c r="A1662">
        <v>828</v>
      </c>
      <c r="B1662">
        <v>1190</v>
      </c>
      <c r="C1662" t="s">
        <v>2035</v>
      </c>
      <c r="D1662" t="s">
        <v>272</v>
      </c>
      <c r="E1662" t="s">
        <v>702</v>
      </c>
      <c r="F1662" t="s">
        <v>3234</v>
      </c>
      <c r="G1662" t="str">
        <f>"00311474"</f>
        <v>00311474</v>
      </c>
      <c r="H1662">
        <v>715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30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84</v>
      </c>
      <c r="W1662">
        <v>588</v>
      </c>
      <c r="X1662">
        <v>0</v>
      </c>
      <c r="Z1662">
        <v>0</v>
      </c>
      <c r="AA1662">
        <v>0</v>
      </c>
      <c r="AB1662">
        <v>0</v>
      </c>
      <c r="AC1662">
        <v>0</v>
      </c>
      <c r="AD1662">
        <v>1333</v>
      </c>
    </row>
    <row r="1663" spans="1:30" x14ac:dyDescent="0.25">
      <c r="H1663" t="s">
        <v>3235</v>
      </c>
    </row>
    <row r="1664" spans="1:30" x14ac:dyDescent="0.25">
      <c r="A1664">
        <v>829</v>
      </c>
      <c r="B1664">
        <v>4707</v>
      </c>
      <c r="C1664" t="s">
        <v>2675</v>
      </c>
      <c r="D1664" t="s">
        <v>1270</v>
      </c>
      <c r="E1664" t="s">
        <v>2406</v>
      </c>
      <c r="F1664" t="s">
        <v>2676</v>
      </c>
      <c r="G1664" t="str">
        <f>"00017308"</f>
        <v>00017308</v>
      </c>
      <c r="H1664">
        <v>836</v>
      </c>
      <c r="I1664">
        <v>0</v>
      </c>
      <c r="J1664">
        <v>0</v>
      </c>
      <c r="K1664">
        <v>0</v>
      </c>
      <c r="L1664">
        <v>200</v>
      </c>
      <c r="M1664">
        <v>0</v>
      </c>
      <c r="N1664">
        <v>70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32</v>
      </c>
      <c r="W1664">
        <v>224</v>
      </c>
      <c r="X1664">
        <v>0</v>
      </c>
      <c r="Z1664">
        <v>0</v>
      </c>
      <c r="AA1664">
        <v>0</v>
      </c>
      <c r="AB1664">
        <v>0</v>
      </c>
      <c r="AC1664">
        <v>0</v>
      </c>
      <c r="AD1664">
        <v>1330</v>
      </c>
    </row>
    <row r="1665" spans="1:30" x14ac:dyDescent="0.25">
      <c r="H1665" t="s">
        <v>2677</v>
      </c>
    </row>
    <row r="1666" spans="1:30" x14ac:dyDescent="0.25">
      <c r="A1666">
        <v>830</v>
      </c>
      <c r="B1666">
        <v>3689</v>
      </c>
      <c r="C1666" t="s">
        <v>3236</v>
      </c>
      <c r="D1666" t="s">
        <v>3237</v>
      </c>
      <c r="E1666" t="s">
        <v>28</v>
      </c>
      <c r="F1666" t="s">
        <v>3238</v>
      </c>
      <c r="G1666" t="str">
        <f>"200801008803"</f>
        <v>200801008803</v>
      </c>
      <c r="H1666">
        <v>759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30</v>
      </c>
      <c r="O1666">
        <v>30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73</v>
      </c>
      <c r="W1666">
        <v>511</v>
      </c>
      <c r="X1666">
        <v>0</v>
      </c>
      <c r="Z1666">
        <v>0</v>
      </c>
      <c r="AA1666">
        <v>0</v>
      </c>
      <c r="AB1666">
        <v>0</v>
      </c>
      <c r="AC1666">
        <v>0</v>
      </c>
      <c r="AD1666">
        <v>1330</v>
      </c>
    </row>
    <row r="1667" spans="1:30" x14ac:dyDescent="0.25">
      <c r="H1667" t="s">
        <v>3239</v>
      </c>
    </row>
    <row r="1668" spans="1:30" x14ac:dyDescent="0.25">
      <c r="A1668">
        <v>831</v>
      </c>
      <c r="B1668">
        <v>2238</v>
      </c>
      <c r="C1668" t="s">
        <v>3240</v>
      </c>
      <c r="D1668" t="s">
        <v>82</v>
      </c>
      <c r="E1668" t="s">
        <v>77</v>
      </c>
      <c r="F1668" t="s">
        <v>3241</v>
      </c>
      <c r="G1668" t="str">
        <f>"00230317"</f>
        <v>00230317</v>
      </c>
      <c r="H1668" t="s">
        <v>2759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30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84</v>
      </c>
      <c r="W1668">
        <v>588</v>
      </c>
      <c r="X1668">
        <v>0</v>
      </c>
      <c r="Z1668">
        <v>0</v>
      </c>
      <c r="AA1668">
        <v>0</v>
      </c>
      <c r="AB1668">
        <v>0</v>
      </c>
      <c r="AC1668">
        <v>0</v>
      </c>
      <c r="AD1668" t="s">
        <v>3242</v>
      </c>
    </row>
    <row r="1669" spans="1:30" x14ac:dyDescent="0.25">
      <c r="H1669" t="s">
        <v>3243</v>
      </c>
    </row>
    <row r="1670" spans="1:30" x14ac:dyDescent="0.25">
      <c r="A1670">
        <v>832</v>
      </c>
      <c r="B1670">
        <v>3956</v>
      </c>
      <c r="C1670" t="s">
        <v>2035</v>
      </c>
      <c r="D1670" t="s">
        <v>59</v>
      </c>
      <c r="E1670" t="s">
        <v>135</v>
      </c>
      <c r="F1670" t="s">
        <v>3244</v>
      </c>
      <c r="G1670" t="str">
        <f>"00367278"</f>
        <v>00367278</v>
      </c>
      <c r="H1670">
        <v>671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70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84</v>
      </c>
      <c r="W1670">
        <v>588</v>
      </c>
      <c r="X1670">
        <v>0</v>
      </c>
      <c r="Z1670">
        <v>0</v>
      </c>
      <c r="AA1670">
        <v>0</v>
      </c>
      <c r="AB1670">
        <v>0</v>
      </c>
      <c r="AC1670">
        <v>0</v>
      </c>
      <c r="AD1670">
        <v>1329</v>
      </c>
    </row>
    <row r="1671" spans="1:30" x14ac:dyDescent="0.25">
      <c r="H1671" t="s">
        <v>3245</v>
      </c>
    </row>
    <row r="1672" spans="1:30" x14ac:dyDescent="0.25">
      <c r="A1672">
        <v>833</v>
      </c>
      <c r="B1672">
        <v>281</v>
      </c>
      <c r="C1672" t="s">
        <v>1404</v>
      </c>
      <c r="D1672" t="s">
        <v>3246</v>
      </c>
      <c r="E1672" t="s">
        <v>3247</v>
      </c>
      <c r="F1672" t="s">
        <v>3248</v>
      </c>
      <c r="G1672" t="str">
        <f>"00247972"</f>
        <v>00247972</v>
      </c>
      <c r="H1672">
        <v>671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70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84</v>
      </c>
      <c r="W1672">
        <v>588</v>
      </c>
      <c r="X1672">
        <v>0</v>
      </c>
      <c r="Z1672">
        <v>0</v>
      </c>
      <c r="AA1672">
        <v>0</v>
      </c>
      <c r="AB1672">
        <v>0</v>
      </c>
      <c r="AC1672">
        <v>0</v>
      </c>
      <c r="AD1672">
        <v>1329</v>
      </c>
    </row>
    <row r="1673" spans="1:30" x14ac:dyDescent="0.25">
      <c r="H1673" t="s">
        <v>3249</v>
      </c>
    </row>
    <row r="1674" spans="1:30" x14ac:dyDescent="0.25">
      <c r="A1674">
        <v>834</v>
      </c>
      <c r="B1674">
        <v>3384</v>
      </c>
      <c r="C1674" t="s">
        <v>3250</v>
      </c>
      <c r="D1674" t="s">
        <v>225</v>
      </c>
      <c r="E1674" t="s">
        <v>42</v>
      </c>
      <c r="F1674" t="s">
        <v>3251</v>
      </c>
      <c r="G1674" t="str">
        <f>"00351761"</f>
        <v>00351761</v>
      </c>
      <c r="H1674">
        <v>759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30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77</v>
      </c>
      <c r="W1674">
        <v>539</v>
      </c>
      <c r="X1674">
        <v>0</v>
      </c>
      <c r="Z1674">
        <v>0</v>
      </c>
      <c r="AA1674">
        <v>0</v>
      </c>
      <c r="AB1674">
        <v>0</v>
      </c>
      <c r="AC1674">
        <v>0</v>
      </c>
      <c r="AD1674">
        <v>1328</v>
      </c>
    </row>
    <row r="1675" spans="1:30" x14ac:dyDescent="0.25">
      <c r="H1675">
        <v>1086</v>
      </c>
    </row>
    <row r="1676" spans="1:30" x14ac:dyDescent="0.25">
      <c r="A1676">
        <v>835</v>
      </c>
      <c r="B1676">
        <v>3965</v>
      </c>
      <c r="C1676" t="s">
        <v>3252</v>
      </c>
      <c r="D1676" t="s">
        <v>702</v>
      </c>
      <c r="E1676" t="s">
        <v>59</v>
      </c>
      <c r="F1676" t="s">
        <v>3253</v>
      </c>
      <c r="G1676" t="str">
        <f>"00313333"</f>
        <v>00313333</v>
      </c>
      <c r="H1676" t="s">
        <v>3254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70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84</v>
      </c>
      <c r="W1676">
        <v>588</v>
      </c>
      <c r="X1676">
        <v>0</v>
      </c>
      <c r="Z1676">
        <v>0</v>
      </c>
      <c r="AA1676">
        <v>0</v>
      </c>
      <c r="AB1676">
        <v>0</v>
      </c>
      <c r="AC1676">
        <v>0</v>
      </c>
      <c r="AD1676" t="s">
        <v>3255</v>
      </c>
    </row>
    <row r="1677" spans="1:30" x14ac:dyDescent="0.25">
      <c r="H1677" t="s">
        <v>3256</v>
      </c>
    </row>
    <row r="1678" spans="1:30" x14ac:dyDescent="0.25">
      <c r="A1678">
        <v>836</v>
      </c>
      <c r="B1678">
        <v>242</v>
      </c>
      <c r="C1678" t="s">
        <v>3257</v>
      </c>
      <c r="D1678" t="s">
        <v>28</v>
      </c>
      <c r="E1678" t="s">
        <v>59</v>
      </c>
      <c r="F1678" t="s">
        <v>3258</v>
      </c>
      <c r="G1678" t="str">
        <f>"00155158"</f>
        <v>00155158</v>
      </c>
      <c r="H1678" t="s">
        <v>3254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70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84</v>
      </c>
      <c r="W1678">
        <v>588</v>
      </c>
      <c r="X1678">
        <v>0</v>
      </c>
      <c r="Z1678">
        <v>0</v>
      </c>
      <c r="AA1678">
        <v>0</v>
      </c>
      <c r="AB1678">
        <v>0</v>
      </c>
      <c r="AC1678">
        <v>0</v>
      </c>
      <c r="AD1678" t="s">
        <v>3255</v>
      </c>
    </row>
    <row r="1679" spans="1:30" x14ac:dyDescent="0.25">
      <c r="H1679" t="s">
        <v>3259</v>
      </c>
    </row>
    <row r="1680" spans="1:30" x14ac:dyDescent="0.25">
      <c r="A1680">
        <v>837</v>
      </c>
      <c r="B1680">
        <v>2154</v>
      </c>
      <c r="C1680" t="s">
        <v>2649</v>
      </c>
      <c r="D1680" t="s">
        <v>435</v>
      </c>
      <c r="E1680" t="s">
        <v>148</v>
      </c>
      <c r="F1680" t="s">
        <v>3260</v>
      </c>
      <c r="G1680" t="str">
        <f>"00346925"</f>
        <v>00346925</v>
      </c>
      <c r="H1680" t="s">
        <v>3261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30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84</v>
      </c>
      <c r="W1680">
        <v>588</v>
      </c>
      <c r="X1680">
        <v>0</v>
      </c>
      <c r="Z1680">
        <v>0</v>
      </c>
      <c r="AA1680">
        <v>0</v>
      </c>
      <c r="AB1680">
        <v>0</v>
      </c>
      <c r="AC1680">
        <v>0</v>
      </c>
      <c r="AD1680" t="s">
        <v>3262</v>
      </c>
    </row>
    <row r="1681" spans="1:30" x14ac:dyDescent="0.25">
      <c r="H1681" t="s">
        <v>3263</v>
      </c>
    </row>
    <row r="1682" spans="1:30" x14ac:dyDescent="0.25">
      <c r="A1682">
        <v>838</v>
      </c>
      <c r="B1682">
        <v>4661</v>
      </c>
      <c r="C1682" t="s">
        <v>3264</v>
      </c>
      <c r="D1682" t="s">
        <v>1640</v>
      </c>
      <c r="E1682" t="s">
        <v>59</v>
      </c>
      <c r="F1682" t="s">
        <v>3265</v>
      </c>
      <c r="G1682" t="str">
        <f>"00216967"</f>
        <v>00216967</v>
      </c>
      <c r="H1682">
        <v>814</v>
      </c>
      <c r="I1682">
        <v>0</v>
      </c>
      <c r="J1682">
        <v>0</v>
      </c>
      <c r="K1682">
        <v>0</v>
      </c>
      <c r="L1682">
        <v>200</v>
      </c>
      <c r="M1682">
        <v>0</v>
      </c>
      <c r="N1682">
        <v>30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40</v>
      </c>
      <c r="W1682">
        <v>280</v>
      </c>
      <c r="X1682">
        <v>0</v>
      </c>
      <c r="Z1682">
        <v>0</v>
      </c>
      <c r="AA1682">
        <v>0</v>
      </c>
      <c r="AB1682">
        <v>0</v>
      </c>
      <c r="AC1682">
        <v>0</v>
      </c>
      <c r="AD1682">
        <v>1324</v>
      </c>
    </row>
    <row r="1683" spans="1:30" x14ac:dyDescent="0.25">
      <c r="H1683" t="s">
        <v>3266</v>
      </c>
    </row>
    <row r="1684" spans="1:30" x14ac:dyDescent="0.25">
      <c r="A1684">
        <v>839</v>
      </c>
      <c r="B1684">
        <v>3044</v>
      </c>
      <c r="C1684" t="s">
        <v>3267</v>
      </c>
      <c r="D1684" t="s">
        <v>174</v>
      </c>
      <c r="E1684" t="s">
        <v>15</v>
      </c>
      <c r="F1684" t="s">
        <v>3268</v>
      </c>
      <c r="G1684" t="str">
        <f>"00328070"</f>
        <v>00328070</v>
      </c>
      <c r="H1684" t="s">
        <v>3269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70</v>
      </c>
      <c r="O1684">
        <v>30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84</v>
      </c>
      <c r="W1684">
        <v>588</v>
      </c>
      <c r="X1684">
        <v>0</v>
      </c>
      <c r="Z1684">
        <v>0</v>
      </c>
      <c r="AA1684">
        <v>0</v>
      </c>
      <c r="AB1684">
        <v>0</v>
      </c>
      <c r="AC1684">
        <v>0</v>
      </c>
      <c r="AD1684" t="s">
        <v>3270</v>
      </c>
    </row>
    <row r="1685" spans="1:30" x14ac:dyDescent="0.25">
      <c r="H1685" t="s">
        <v>32</v>
      </c>
    </row>
    <row r="1686" spans="1:30" x14ac:dyDescent="0.25">
      <c r="A1686">
        <v>840</v>
      </c>
      <c r="B1686">
        <v>3493</v>
      </c>
      <c r="C1686" t="s">
        <v>3271</v>
      </c>
      <c r="D1686" t="s">
        <v>3272</v>
      </c>
      <c r="E1686" t="s">
        <v>28</v>
      </c>
      <c r="F1686" t="s">
        <v>3273</v>
      </c>
      <c r="G1686" t="str">
        <f>"00335537"</f>
        <v>00335537</v>
      </c>
      <c r="H1686" t="s">
        <v>1980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30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84</v>
      </c>
      <c r="W1686">
        <v>588</v>
      </c>
      <c r="X1686">
        <v>0</v>
      </c>
      <c r="Z1686">
        <v>0</v>
      </c>
      <c r="AA1686">
        <v>0</v>
      </c>
      <c r="AB1686">
        <v>0</v>
      </c>
      <c r="AC1686">
        <v>0</v>
      </c>
      <c r="AD1686" t="s">
        <v>3274</v>
      </c>
    </row>
    <row r="1687" spans="1:30" x14ac:dyDescent="0.25">
      <c r="H1687" t="s">
        <v>3275</v>
      </c>
    </row>
    <row r="1688" spans="1:30" x14ac:dyDescent="0.25">
      <c r="A1688">
        <v>841</v>
      </c>
      <c r="B1688">
        <v>2283</v>
      </c>
      <c r="C1688" t="s">
        <v>3276</v>
      </c>
      <c r="D1688" t="s">
        <v>59</v>
      </c>
      <c r="E1688" t="s">
        <v>135</v>
      </c>
      <c r="F1688" t="s">
        <v>3277</v>
      </c>
      <c r="G1688" t="str">
        <f>"00034430"</f>
        <v>00034430</v>
      </c>
      <c r="H1688" t="s">
        <v>1980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84</v>
      </c>
      <c r="W1688">
        <v>588</v>
      </c>
      <c r="X1688">
        <v>0</v>
      </c>
      <c r="Z1688">
        <v>0</v>
      </c>
      <c r="AA1688">
        <v>0</v>
      </c>
      <c r="AB1688">
        <v>0</v>
      </c>
      <c r="AC1688">
        <v>0</v>
      </c>
      <c r="AD1688" t="s">
        <v>3274</v>
      </c>
    </row>
    <row r="1689" spans="1:30" x14ac:dyDescent="0.25">
      <c r="H1689" t="s">
        <v>3278</v>
      </c>
    </row>
    <row r="1690" spans="1:30" x14ac:dyDescent="0.25">
      <c r="A1690">
        <v>842</v>
      </c>
      <c r="B1690">
        <v>884</v>
      </c>
      <c r="C1690" t="s">
        <v>3279</v>
      </c>
      <c r="D1690" t="s">
        <v>148</v>
      </c>
      <c r="E1690" t="s">
        <v>702</v>
      </c>
      <c r="F1690" t="s">
        <v>3280</v>
      </c>
      <c r="G1690" t="str">
        <f>"00263195"</f>
        <v>00263195</v>
      </c>
      <c r="H1690" t="s">
        <v>761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81</v>
      </c>
      <c r="W1690">
        <v>567</v>
      </c>
      <c r="X1690">
        <v>0</v>
      </c>
      <c r="Z1690">
        <v>0</v>
      </c>
      <c r="AA1690">
        <v>0</v>
      </c>
      <c r="AB1690">
        <v>0</v>
      </c>
      <c r="AC1690">
        <v>0</v>
      </c>
      <c r="AD1690" t="s">
        <v>3281</v>
      </c>
    </row>
    <row r="1691" spans="1:30" x14ac:dyDescent="0.25">
      <c r="H1691" t="s">
        <v>933</v>
      </c>
    </row>
    <row r="1692" spans="1:30" x14ac:dyDescent="0.25">
      <c r="A1692">
        <v>843</v>
      </c>
      <c r="B1692">
        <v>1259</v>
      </c>
      <c r="C1692" t="s">
        <v>3282</v>
      </c>
      <c r="D1692" t="s">
        <v>731</v>
      </c>
      <c r="E1692" t="s">
        <v>77</v>
      </c>
      <c r="F1692" t="s">
        <v>3283</v>
      </c>
      <c r="G1692" t="str">
        <f>"00307712"</f>
        <v>00307712</v>
      </c>
      <c r="H1692">
        <v>660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70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84</v>
      </c>
      <c r="W1692">
        <v>588</v>
      </c>
      <c r="X1692">
        <v>0</v>
      </c>
      <c r="Z1692">
        <v>0</v>
      </c>
      <c r="AA1692">
        <v>0</v>
      </c>
      <c r="AB1692">
        <v>0</v>
      </c>
      <c r="AC1692">
        <v>0</v>
      </c>
      <c r="AD1692">
        <v>1318</v>
      </c>
    </row>
    <row r="1693" spans="1:30" x14ac:dyDescent="0.25">
      <c r="H1693" t="s">
        <v>3284</v>
      </c>
    </row>
    <row r="1694" spans="1:30" x14ac:dyDescent="0.25">
      <c r="A1694">
        <v>844</v>
      </c>
      <c r="B1694">
        <v>5016</v>
      </c>
      <c r="C1694" t="s">
        <v>3285</v>
      </c>
      <c r="D1694" t="s">
        <v>1564</v>
      </c>
      <c r="E1694" t="s">
        <v>3286</v>
      </c>
      <c r="F1694" t="s">
        <v>3287</v>
      </c>
      <c r="G1694" t="str">
        <f>"00260616"</f>
        <v>00260616</v>
      </c>
      <c r="H1694">
        <v>660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70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84</v>
      </c>
      <c r="W1694">
        <v>588</v>
      </c>
      <c r="X1694">
        <v>0</v>
      </c>
      <c r="Z1694">
        <v>0</v>
      </c>
      <c r="AA1694">
        <v>0</v>
      </c>
      <c r="AB1694">
        <v>0</v>
      </c>
      <c r="AC1694">
        <v>0</v>
      </c>
      <c r="AD1694">
        <v>1318</v>
      </c>
    </row>
    <row r="1695" spans="1:30" x14ac:dyDescent="0.25">
      <c r="H1695" t="s">
        <v>3288</v>
      </c>
    </row>
    <row r="1696" spans="1:30" x14ac:dyDescent="0.25">
      <c r="A1696">
        <v>845</v>
      </c>
      <c r="B1696">
        <v>4343</v>
      </c>
      <c r="C1696" t="s">
        <v>3289</v>
      </c>
      <c r="D1696" t="s">
        <v>174</v>
      </c>
      <c r="E1696" t="s">
        <v>731</v>
      </c>
      <c r="F1696" t="s">
        <v>3290</v>
      </c>
      <c r="G1696" t="str">
        <f>"00366935"</f>
        <v>00366935</v>
      </c>
      <c r="H1696">
        <v>660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70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84</v>
      </c>
      <c r="W1696">
        <v>588</v>
      </c>
      <c r="X1696">
        <v>0</v>
      </c>
      <c r="Z1696">
        <v>0</v>
      </c>
      <c r="AA1696">
        <v>0</v>
      </c>
      <c r="AB1696">
        <v>0</v>
      </c>
      <c r="AC1696">
        <v>0</v>
      </c>
      <c r="AD1696">
        <v>1318</v>
      </c>
    </row>
    <row r="1697" spans="1:30" x14ac:dyDescent="0.25">
      <c r="H1697" t="s">
        <v>3291</v>
      </c>
    </row>
    <row r="1698" spans="1:30" x14ac:dyDescent="0.25">
      <c r="A1698">
        <v>846</v>
      </c>
      <c r="B1698">
        <v>2325</v>
      </c>
      <c r="C1698" t="s">
        <v>3292</v>
      </c>
      <c r="D1698" t="s">
        <v>423</v>
      </c>
      <c r="E1698" t="s">
        <v>59</v>
      </c>
      <c r="F1698" t="s">
        <v>3293</v>
      </c>
      <c r="G1698" t="str">
        <f>"00206550"</f>
        <v>00206550</v>
      </c>
      <c r="H1698" t="s">
        <v>3023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70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84</v>
      </c>
      <c r="W1698">
        <v>588</v>
      </c>
      <c r="X1698">
        <v>0</v>
      </c>
      <c r="Z1698">
        <v>0</v>
      </c>
      <c r="AA1698">
        <v>0</v>
      </c>
      <c r="AB1698">
        <v>0</v>
      </c>
      <c r="AC1698">
        <v>0</v>
      </c>
      <c r="AD1698" t="s">
        <v>3294</v>
      </c>
    </row>
    <row r="1699" spans="1:30" x14ac:dyDescent="0.25">
      <c r="H1699" t="s">
        <v>3295</v>
      </c>
    </row>
    <row r="1700" spans="1:30" x14ac:dyDescent="0.25">
      <c r="A1700">
        <v>847</v>
      </c>
      <c r="B1700">
        <v>951</v>
      </c>
      <c r="C1700" t="s">
        <v>3296</v>
      </c>
      <c r="D1700" t="s">
        <v>1263</v>
      </c>
      <c r="E1700" t="s">
        <v>59</v>
      </c>
      <c r="F1700" t="s">
        <v>3297</v>
      </c>
      <c r="G1700" t="str">
        <f>"201504001172"</f>
        <v>201504001172</v>
      </c>
      <c r="H1700" t="s">
        <v>1628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30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84</v>
      </c>
      <c r="W1700">
        <v>588</v>
      </c>
      <c r="X1700">
        <v>0</v>
      </c>
      <c r="Z1700">
        <v>0</v>
      </c>
      <c r="AA1700">
        <v>0</v>
      </c>
      <c r="AB1700">
        <v>0</v>
      </c>
      <c r="AC1700">
        <v>0</v>
      </c>
      <c r="AD1700" t="s">
        <v>3298</v>
      </c>
    </row>
    <row r="1701" spans="1:30" x14ac:dyDescent="0.25">
      <c r="H1701" t="s">
        <v>3299</v>
      </c>
    </row>
    <row r="1702" spans="1:30" x14ac:dyDescent="0.25">
      <c r="A1702">
        <v>848</v>
      </c>
      <c r="B1702">
        <v>2988</v>
      </c>
      <c r="C1702" t="s">
        <v>3300</v>
      </c>
      <c r="D1702" t="s">
        <v>66</v>
      </c>
      <c r="E1702" t="s">
        <v>702</v>
      </c>
      <c r="F1702" t="s">
        <v>3301</v>
      </c>
      <c r="G1702" t="str">
        <f>"00366231"</f>
        <v>00366231</v>
      </c>
      <c r="H1702" t="s">
        <v>633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30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84</v>
      </c>
      <c r="W1702">
        <v>588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3302</v>
      </c>
    </row>
    <row r="1703" spans="1:30" x14ac:dyDescent="0.25">
      <c r="H1703" t="s">
        <v>3303</v>
      </c>
    </row>
    <row r="1704" spans="1:30" x14ac:dyDescent="0.25">
      <c r="A1704">
        <v>849</v>
      </c>
      <c r="B1704">
        <v>1835</v>
      </c>
      <c r="C1704" t="s">
        <v>3304</v>
      </c>
      <c r="D1704" t="s">
        <v>3305</v>
      </c>
      <c r="E1704" t="s">
        <v>3306</v>
      </c>
      <c r="F1704" t="s">
        <v>3307</v>
      </c>
      <c r="G1704" t="str">
        <f>"00320901"</f>
        <v>00320901</v>
      </c>
      <c r="H1704" t="s">
        <v>1146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84</v>
      </c>
      <c r="W1704">
        <v>588</v>
      </c>
      <c r="X1704">
        <v>0</v>
      </c>
      <c r="Z1704">
        <v>0</v>
      </c>
      <c r="AA1704">
        <v>0</v>
      </c>
      <c r="AB1704">
        <v>0</v>
      </c>
      <c r="AC1704">
        <v>0</v>
      </c>
      <c r="AD1704" t="s">
        <v>3308</v>
      </c>
    </row>
    <row r="1705" spans="1:30" x14ac:dyDescent="0.25">
      <c r="H1705" t="s">
        <v>3309</v>
      </c>
    </row>
    <row r="1706" spans="1:30" x14ac:dyDescent="0.25">
      <c r="A1706">
        <v>850</v>
      </c>
      <c r="B1706">
        <v>4223</v>
      </c>
      <c r="C1706" t="s">
        <v>3310</v>
      </c>
      <c r="D1706" t="s">
        <v>42</v>
      </c>
      <c r="E1706" t="s">
        <v>3311</v>
      </c>
      <c r="F1706" t="s">
        <v>3312</v>
      </c>
      <c r="G1706" t="str">
        <f>"00314007"</f>
        <v>00314007</v>
      </c>
      <c r="H1706">
        <v>693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84</v>
      </c>
      <c r="W1706">
        <v>588</v>
      </c>
      <c r="X1706">
        <v>0</v>
      </c>
      <c r="Z1706">
        <v>0</v>
      </c>
      <c r="AA1706">
        <v>0</v>
      </c>
      <c r="AB1706">
        <v>0</v>
      </c>
      <c r="AC1706">
        <v>0</v>
      </c>
      <c r="AD1706">
        <v>1311</v>
      </c>
    </row>
    <row r="1707" spans="1:30" x14ac:dyDescent="0.25">
      <c r="H1707" t="s">
        <v>3313</v>
      </c>
    </row>
    <row r="1708" spans="1:30" x14ac:dyDescent="0.25">
      <c r="A1708">
        <v>851</v>
      </c>
      <c r="B1708">
        <v>2887</v>
      </c>
      <c r="C1708" t="s">
        <v>3314</v>
      </c>
      <c r="D1708" t="s">
        <v>731</v>
      </c>
      <c r="E1708" t="s">
        <v>225</v>
      </c>
      <c r="F1708" t="s">
        <v>3315</v>
      </c>
      <c r="G1708" t="str">
        <f>"00019967"</f>
        <v>00019967</v>
      </c>
      <c r="H1708" t="s">
        <v>766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70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84</v>
      </c>
      <c r="W1708">
        <v>588</v>
      </c>
      <c r="X1708">
        <v>0</v>
      </c>
      <c r="Z1708">
        <v>0</v>
      </c>
      <c r="AA1708">
        <v>0</v>
      </c>
      <c r="AB1708">
        <v>0</v>
      </c>
      <c r="AC1708">
        <v>0</v>
      </c>
      <c r="AD1708" t="s">
        <v>3316</v>
      </c>
    </row>
    <row r="1709" spans="1:30" x14ac:dyDescent="0.25">
      <c r="H1709" t="s">
        <v>3317</v>
      </c>
    </row>
    <row r="1710" spans="1:30" x14ac:dyDescent="0.25">
      <c r="A1710">
        <v>852</v>
      </c>
      <c r="B1710">
        <v>2520</v>
      </c>
      <c r="C1710" t="s">
        <v>3318</v>
      </c>
      <c r="D1710" t="s">
        <v>59</v>
      </c>
      <c r="E1710" t="s">
        <v>576</v>
      </c>
      <c r="F1710" t="s">
        <v>3319</v>
      </c>
      <c r="G1710" t="str">
        <f>"201406009534"</f>
        <v>201406009534</v>
      </c>
      <c r="H1710">
        <v>550</v>
      </c>
      <c r="I1710">
        <v>0</v>
      </c>
      <c r="J1710">
        <v>0</v>
      </c>
      <c r="K1710">
        <v>0</v>
      </c>
      <c r="L1710">
        <v>0</v>
      </c>
      <c r="M1710">
        <v>100</v>
      </c>
      <c r="N1710">
        <v>70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84</v>
      </c>
      <c r="W1710">
        <v>588</v>
      </c>
      <c r="X1710">
        <v>0</v>
      </c>
      <c r="Z1710">
        <v>0</v>
      </c>
      <c r="AA1710">
        <v>0</v>
      </c>
      <c r="AB1710">
        <v>0</v>
      </c>
      <c r="AC1710">
        <v>0</v>
      </c>
      <c r="AD1710">
        <v>1308</v>
      </c>
    </row>
    <row r="1711" spans="1:30" x14ac:dyDescent="0.25">
      <c r="H1711" t="s">
        <v>3320</v>
      </c>
    </row>
    <row r="1712" spans="1:30" x14ac:dyDescent="0.25">
      <c r="A1712">
        <v>853</v>
      </c>
      <c r="B1712">
        <v>946</v>
      </c>
      <c r="C1712" t="s">
        <v>3321</v>
      </c>
      <c r="D1712" t="s">
        <v>3322</v>
      </c>
      <c r="E1712" t="s">
        <v>225</v>
      </c>
      <c r="F1712" t="s">
        <v>3323</v>
      </c>
      <c r="G1712" t="str">
        <f>"201406009785"</f>
        <v>201406009785</v>
      </c>
      <c r="H1712" t="s">
        <v>2892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84</v>
      </c>
      <c r="W1712">
        <v>588</v>
      </c>
      <c r="X1712">
        <v>0</v>
      </c>
      <c r="Z1712">
        <v>0</v>
      </c>
      <c r="AA1712">
        <v>0</v>
      </c>
      <c r="AB1712">
        <v>0</v>
      </c>
      <c r="AC1712">
        <v>0</v>
      </c>
      <c r="AD1712" t="s">
        <v>3324</v>
      </c>
    </row>
    <row r="1713" spans="1:30" x14ac:dyDescent="0.25">
      <c r="H1713" t="s">
        <v>3325</v>
      </c>
    </row>
    <row r="1714" spans="1:30" x14ac:dyDescent="0.25">
      <c r="A1714">
        <v>854</v>
      </c>
      <c r="B1714">
        <v>1534</v>
      </c>
      <c r="C1714" t="s">
        <v>3326</v>
      </c>
      <c r="D1714" t="s">
        <v>496</v>
      </c>
      <c r="E1714" t="s">
        <v>119</v>
      </c>
      <c r="F1714" t="s">
        <v>3327</v>
      </c>
      <c r="G1714" t="str">
        <f>"00251974"</f>
        <v>00251974</v>
      </c>
      <c r="H1714" t="s">
        <v>946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30</v>
      </c>
      <c r="O1714">
        <v>0</v>
      </c>
      <c r="P1714">
        <v>0</v>
      </c>
      <c r="Q1714">
        <v>30</v>
      </c>
      <c r="R1714">
        <v>0</v>
      </c>
      <c r="S1714">
        <v>0</v>
      </c>
      <c r="T1714">
        <v>0</v>
      </c>
      <c r="U1714">
        <v>0</v>
      </c>
      <c r="V1714">
        <v>79</v>
      </c>
      <c r="W1714">
        <v>553</v>
      </c>
      <c r="X1714">
        <v>0</v>
      </c>
      <c r="Z1714">
        <v>0</v>
      </c>
      <c r="AA1714">
        <v>0</v>
      </c>
      <c r="AB1714">
        <v>0</v>
      </c>
      <c r="AC1714">
        <v>0</v>
      </c>
      <c r="AD1714" t="s">
        <v>3328</v>
      </c>
    </row>
    <row r="1715" spans="1:30" x14ac:dyDescent="0.25">
      <c r="H1715" t="s">
        <v>3329</v>
      </c>
    </row>
    <row r="1716" spans="1:30" x14ac:dyDescent="0.25">
      <c r="A1716">
        <v>855</v>
      </c>
      <c r="B1716">
        <v>3036</v>
      </c>
      <c r="C1716" t="s">
        <v>3330</v>
      </c>
      <c r="D1716" t="s">
        <v>148</v>
      </c>
      <c r="E1716" t="s">
        <v>135</v>
      </c>
      <c r="F1716" t="s">
        <v>3331</v>
      </c>
      <c r="G1716" t="str">
        <f>"00325018"</f>
        <v>00325018</v>
      </c>
      <c r="H1716" t="s">
        <v>3332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30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84</v>
      </c>
      <c r="W1716">
        <v>588</v>
      </c>
      <c r="X1716">
        <v>0</v>
      </c>
      <c r="Z1716">
        <v>0</v>
      </c>
      <c r="AA1716">
        <v>0</v>
      </c>
      <c r="AB1716">
        <v>0</v>
      </c>
      <c r="AC1716">
        <v>0</v>
      </c>
      <c r="AD1716" t="s">
        <v>3333</v>
      </c>
    </row>
    <row r="1717" spans="1:30" x14ac:dyDescent="0.25">
      <c r="H1717" t="s">
        <v>3334</v>
      </c>
    </row>
    <row r="1718" spans="1:30" x14ac:dyDescent="0.25">
      <c r="A1718">
        <v>856</v>
      </c>
      <c r="B1718">
        <v>4693</v>
      </c>
      <c r="C1718" t="s">
        <v>1032</v>
      </c>
      <c r="D1718" t="s">
        <v>28</v>
      </c>
      <c r="E1718" t="s">
        <v>135</v>
      </c>
      <c r="F1718" t="s">
        <v>3335</v>
      </c>
      <c r="G1718" t="str">
        <f>"00324836"</f>
        <v>00324836</v>
      </c>
      <c r="H1718" t="s">
        <v>17</v>
      </c>
      <c r="I1718">
        <v>0</v>
      </c>
      <c r="J1718">
        <v>0</v>
      </c>
      <c r="K1718">
        <v>0</v>
      </c>
      <c r="L1718">
        <v>200</v>
      </c>
      <c r="M1718">
        <v>0</v>
      </c>
      <c r="N1718">
        <v>50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40</v>
      </c>
      <c r="W1718">
        <v>280</v>
      </c>
      <c r="X1718">
        <v>0</v>
      </c>
      <c r="Z1718">
        <v>0</v>
      </c>
      <c r="AA1718">
        <v>0</v>
      </c>
      <c r="AB1718">
        <v>0</v>
      </c>
      <c r="AC1718">
        <v>0</v>
      </c>
      <c r="AD1718" t="s">
        <v>3336</v>
      </c>
    </row>
    <row r="1719" spans="1:30" x14ac:dyDescent="0.25">
      <c r="H1719" t="s">
        <v>3337</v>
      </c>
    </row>
    <row r="1720" spans="1:30" x14ac:dyDescent="0.25">
      <c r="A1720">
        <v>857</v>
      </c>
      <c r="B1720">
        <v>3049</v>
      </c>
      <c r="C1720" t="s">
        <v>3338</v>
      </c>
      <c r="D1720" t="s">
        <v>3339</v>
      </c>
      <c r="E1720" t="s">
        <v>42</v>
      </c>
      <c r="F1720" t="s">
        <v>3340</v>
      </c>
      <c r="G1720" t="str">
        <f>"00145002"</f>
        <v>00145002</v>
      </c>
      <c r="H1720" t="s">
        <v>842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30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84</v>
      </c>
      <c r="W1720">
        <v>588</v>
      </c>
      <c r="X1720">
        <v>0</v>
      </c>
      <c r="Z1720">
        <v>0</v>
      </c>
      <c r="AA1720">
        <v>0</v>
      </c>
      <c r="AB1720">
        <v>0</v>
      </c>
      <c r="AC1720">
        <v>0</v>
      </c>
      <c r="AD1720" t="s">
        <v>3336</v>
      </c>
    </row>
    <row r="1721" spans="1:30" x14ac:dyDescent="0.25">
      <c r="H1721" t="s">
        <v>3341</v>
      </c>
    </row>
    <row r="1722" spans="1:30" x14ac:dyDescent="0.25">
      <c r="A1722">
        <v>858</v>
      </c>
      <c r="B1722">
        <v>2462</v>
      </c>
      <c r="C1722" t="s">
        <v>3342</v>
      </c>
      <c r="D1722" t="s">
        <v>1039</v>
      </c>
      <c r="E1722" t="s">
        <v>197</v>
      </c>
      <c r="F1722" t="s">
        <v>3343</v>
      </c>
      <c r="G1722" t="str">
        <f>"00344283"</f>
        <v>00344283</v>
      </c>
      <c r="H1722">
        <v>715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84</v>
      </c>
      <c r="W1722">
        <v>588</v>
      </c>
      <c r="X1722">
        <v>0</v>
      </c>
      <c r="Z1722">
        <v>0</v>
      </c>
      <c r="AA1722">
        <v>0</v>
      </c>
      <c r="AB1722">
        <v>0</v>
      </c>
      <c r="AC1722">
        <v>0</v>
      </c>
      <c r="AD1722">
        <v>1303</v>
      </c>
    </row>
    <row r="1723" spans="1:30" x14ac:dyDescent="0.25">
      <c r="H1723" t="s">
        <v>933</v>
      </c>
    </row>
    <row r="1724" spans="1:30" x14ac:dyDescent="0.25">
      <c r="A1724">
        <v>859</v>
      </c>
      <c r="B1724">
        <v>822</v>
      </c>
      <c r="C1724" t="s">
        <v>3344</v>
      </c>
      <c r="D1724" t="s">
        <v>293</v>
      </c>
      <c r="E1724" t="s">
        <v>66</v>
      </c>
      <c r="F1724" t="s">
        <v>3345</v>
      </c>
      <c r="G1724" t="str">
        <f>"00306005"</f>
        <v>00306005</v>
      </c>
      <c r="H1724" t="s">
        <v>941</v>
      </c>
      <c r="I1724">
        <v>0</v>
      </c>
      <c r="J1724">
        <v>0</v>
      </c>
      <c r="K1724">
        <v>0</v>
      </c>
      <c r="L1724">
        <v>200</v>
      </c>
      <c r="M1724">
        <v>0</v>
      </c>
      <c r="N1724">
        <v>70</v>
      </c>
      <c r="O1724">
        <v>0</v>
      </c>
      <c r="P1724">
        <v>30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6</v>
      </c>
      <c r="W1724">
        <v>42</v>
      </c>
      <c r="X1724">
        <v>0</v>
      </c>
      <c r="Z1724">
        <v>0</v>
      </c>
      <c r="AA1724">
        <v>0</v>
      </c>
      <c r="AB1724">
        <v>0</v>
      </c>
      <c r="AC1724">
        <v>0</v>
      </c>
      <c r="AD1724" t="s">
        <v>3346</v>
      </c>
    </row>
    <row r="1725" spans="1:30" x14ac:dyDescent="0.25">
      <c r="H1725" t="s">
        <v>3347</v>
      </c>
    </row>
    <row r="1726" spans="1:30" x14ac:dyDescent="0.25">
      <c r="A1726">
        <v>860</v>
      </c>
      <c r="B1726">
        <v>148</v>
      </c>
      <c r="C1726" t="s">
        <v>944</v>
      </c>
      <c r="D1726" t="s">
        <v>77</v>
      </c>
      <c r="E1726" t="s">
        <v>135</v>
      </c>
      <c r="F1726" t="s">
        <v>3348</v>
      </c>
      <c r="G1726" t="str">
        <f>"201504001344"</f>
        <v>201504001344</v>
      </c>
      <c r="H1726">
        <v>682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30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84</v>
      </c>
      <c r="W1726">
        <v>588</v>
      </c>
      <c r="X1726">
        <v>0</v>
      </c>
      <c r="Z1726">
        <v>0</v>
      </c>
      <c r="AA1726">
        <v>0</v>
      </c>
      <c r="AB1726">
        <v>0</v>
      </c>
      <c r="AC1726">
        <v>0</v>
      </c>
      <c r="AD1726">
        <v>1300</v>
      </c>
    </row>
    <row r="1727" spans="1:30" x14ac:dyDescent="0.25">
      <c r="H1727" t="s">
        <v>3349</v>
      </c>
    </row>
    <row r="1728" spans="1:30" x14ac:dyDescent="0.25">
      <c r="A1728">
        <v>861</v>
      </c>
      <c r="B1728">
        <v>3722</v>
      </c>
      <c r="C1728" t="s">
        <v>3350</v>
      </c>
      <c r="D1728" t="s">
        <v>42</v>
      </c>
      <c r="E1728" t="s">
        <v>1361</v>
      </c>
      <c r="F1728" t="s">
        <v>3351</v>
      </c>
      <c r="G1728" t="str">
        <f>"201402005927"</f>
        <v>201402005927</v>
      </c>
      <c r="H1728" t="s">
        <v>3352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30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84</v>
      </c>
      <c r="W1728">
        <v>588</v>
      </c>
      <c r="X1728">
        <v>0</v>
      </c>
      <c r="Z1728">
        <v>0</v>
      </c>
      <c r="AA1728">
        <v>0</v>
      </c>
      <c r="AB1728">
        <v>0</v>
      </c>
      <c r="AC1728">
        <v>0</v>
      </c>
      <c r="AD1728" t="s">
        <v>3353</v>
      </c>
    </row>
    <row r="1729" spans="1:30" x14ac:dyDescent="0.25">
      <c r="H1729" t="s">
        <v>3354</v>
      </c>
    </row>
    <row r="1730" spans="1:30" x14ac:dyDescent="0.25">
      <c r="A1730">
        <v>862</v>
      </c>
      <c r="B1730">
        <v>2237</v>
      </c>
      <c r="C1730" t="s">
        <v>3355</v>
      </c>
      <c r="D1730" t="s">
        <v>35</v>
      </c>
      <c r="E1730" t="s">
        <v>203</v>
      </c>
      <c r="F1730" t="s">
        <v>3356</v>
      </c>
      <c r="G1730" t="str">
        <f>"00340630"</f>
        <v>00340630</v>
      </c>
      <c r="H1730" t="s">
        <v>1083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70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84</v>
      </c>
      <c r="W1730">
        <v>588</v>
      </c>
      <c r="X1730">
        <v>0</v>
      </c>
      <c r="Z1730">
        <v>0</v>
      </c>
      <c r="AA1730">
        <v>0</v>
      </c>
      <c r="AB1730">
        <v>0</v>
      </c>
      <c r="AC1730">
        <v>0</v>
      </c>
      <c r="AD1730" t="s">
        <v>3357</v>
      </c>
    </row>
    <row r="1731" spans="1:30" x14ac:dyDescent="0.25">
      <c r="H1731" t="s">
        <v>3358</v>
      </c>
    </row>
    <row r="1732" spans="1:30" x14ac:dyDescent="0.25">
      <c r="A1732">
        <v>863</v>
      </c>
      <c r="B1732">
        <v>2737</v>
      </c>
      <c r="C1732" t="s">
        <v>1169</v>
      </c>
      <c r="D1732" t="s">
        <v>1263</v>
      </c>
      <c r="E1732" t="s">
        <v>135</v>
      </c>
      <c r="F1732" t="s">
        <v>3359</v>
      </c>
      <c r="G1732" t="str">
        <f>"00341330"</f>
        <v>00341330</v>
      </c>
      <c r="H1732" t="s">
        <v>1228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30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64</v>
      </c>
      <c r="W1732">
        <v>448</v>
      </c>
      <c r="X1732">
        <v>0</v>
      </c>
      <c r="Z1732">
        <v>0</v>
      </c>
      <c r="AA1732">
        <v>0</v>
      </c>
      <c r="AB1732">
        <v>0</v>
      </c>
      <c r="AC1732">
        <v>0</v>
      </c>
      <c r="AD1732" t="s">
        <v>3360</v>
      </c>
    </row>
    <row r="1733" spans="1:30" x14ac:dyDescent="0.25">
      <c r="H1733">
        <v>1079</v>
      </c>
    </row>
    <row r="1734" spans="1:30" x14ac:dyDescent="0.25">
      <c r="A1734">
        <v>864</v>
      </c>
      <c r="B1734">
        <v>2841</v>
      </c>
      <c r="C1734" t="s">
        <v>3361</v>
      </c>
      <c r="D1734" t="s">
        <v>35</v>
      </c>
      <c r="E1734" t="s">
        <v>794</v>
      </c>
      <c r="F1734" t="s">
        <v>3362</v>
      </c>
      <c r="G1734" t="str">
        <f>"00143677"</f>
        <v>00143677</v>
      </c>
      <c r="H1734" t="s">
        <v>3363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30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70</v>
      </c>
      <c r="U1734">
        <v>0</v>
      </c>
      <c r="V1734">
        <v>84</v>
      </c>
      <c r="W1734">
        <v>588</v>
      </c>
      <c r="X1734">
        <v>0</v>
      </c>
      <c r="Z1734">
        <v>0</v>
      </c>
      <c r="AA1734">
        <v>0</v>
      </c>
      <c r="AB1734">
        <v>0</v>
      </c>
      <c r="AC1734">
        <v>0</v>
      </c>
      <c r="AD1734" t="s">
        <v>3364</v>
      </c>
    </row>
    <row r="1735" spans="1:30" x14ac:dyDescent="0.25">
      <c r="H1735" t="s">
        <v>3365</v>
      </c>
    </row>
    <row r="1736" spans="1:30" x14ac:dyDescent="0.25">
      <c r="A1736">
        <v>865</v>
      </c>
      <c r="B1736">
        <v>1292</v>
      </c>
      <c r="C1736" t="s">
        <v>3366</v>
      </c>
      <c r="D1736" t="s">
        <v>203</v>
      </c>
      <c r="E1736" t="s">
        <v>77</v>
      </c>
      <c r="F1736" t="s">
        <v>3367</v>
      </c>
      <c r="G1736" t="str">
        <f>"00301272"</f>
        <v>00301272</v>
      </c>
      <c r="H1736">
        <v>770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50</v>
      </c>
      <c r="O1736">
        <v>50</v>
      </c>
      <c r="P1736">
        <v>0</v>
      </c>
      <c r="Q1736">
        <v>0</v>
      </c>
      <c r="R1736">
        <v>0</v>
      </c>
      <c r="S1736">
        <v>0</v>
      </c>
      <c r="T1736">
        <v>30</v>
      </c>
      <c r="U1736">
        <v>0</v>
      </c>
      <c r="V1736">
        <v>56</v>
      </c>
      <c r="W1736">
        <v>392</v>
      </c>
      <c r="X1736">
        <v>0</v>
      </c>
      <c r="Z1736">
        <v>0</v>
      </c>
      <c r="AA1736">
        <v>0</v>
      </c>
      <c r="AB1736">
        <v>0</v>
      </c>
      <c r="AC1736">
        <v>0</v>
      </c>
      <c r="AD1736">
        <v>1292</v>
      </c>
    </row>
    <row r="1737" spans="1:30" x14ac:dyDescent="0.25">
      <c r="H1737" t="s">
        <v>3368</v>
      </c>
    </row>
    <row r="1738" spans="1:30" x14ac:dyDescent="0.25">
      <c r="A1738">
        <v>866</v>
      </c>
      <c r="B1738">
        <v>1997</v>
      </c>
      <c r="C1738" t="s">
        <v>3369</v>
      </c>
      <c r="D1738" t="s">
        <v>42</v>
      </c>
      <c r="E1738" t="s">
        <v>1705</v>
      </c>
      <c r="F1738" t="s">
        <v>3370</v>
      </c>
      <c r="G1738" t="str">
        <f>"00264696"</f>
        <v>00264696</v>
      </c>
      <c r="H1738" t="s">
        <v>3371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30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84</v>
      </c>
      <c r="W1738">
        <v>588</v>
      </c>
      <c r="X1738">
        <v>0</v>
      </c>
      <c r="Z1738">
        <v>0</v>
      </c>
      <c r="AA1738">
        <v>0</v>
      </c>
      <c r="AB1738">
        <v>0</v>
      </c>
      <c r="AC1738">
        <v>0</v>
      </c>
      <c r="AD1738" t="s">
        <v>3372</v>
      </c>
    </row>
    <row r="1739" spans="1:30" x14ac:dyDescent="0.25">
      <c r="H1739" t="s">
        <v>729</v>
      </c>
    </row>
    <row r="1740" spans="1:30" x14ac:dyDescent="0.25">
      <c r="A1740">
        <v>867</v>
      </c>
      <c r="B1740">
        <v>2600</v>
      </c>
      <c r="C1740" t="s">
        <v>3373</v>
      </c>
      <c r="D1740" t="s">
        <v>203</v>
      </c>
      <c r="E1740" t="s">
        <v>521</v>
      </c>
      <c r="F1740" t="s">
        <v>3374</v>
      </c>
      <c r="G1740" t="str">
        <f>"201402006998"</f>
        <v>201402006998</v>
      </c>
      <c r="H1740" t="s">
        <v>3375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30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84</v>
      </c>
      <c r="W1740">
        <v>588</v>
      </c>
      <c r="X1740">
        <v>0</v>
      </c>
      <c r="Z1740">
        <v>0</v>
      </c>
      <c r="AA1740">
        <v>0</v>
      </c>
      <c r="AB1740">
        <v>0</v>
      </c>
      <c r="AC1740">
        <v>0</v>
      </c>
      <c r="AD1740" t="s">
        <v>3376</v>
      </c>
    </row>
    <row r="1741" spans="1:30" x14ac:dyDescent="0.25">
      <c r="H1741">
        <v>1089</v>
      </c>
    </row>
    <row r="1742" spans="1:30" x14ac:dyDescent="0.25">
      <c r="A1742">
        <v>868</v>
      </c>
      <c r="B1742">
        <v>1270</v>
      </c>
      <c r="C1742" t="s">
        <v>3377</v>
      </c>
      <c r="D1742" t="s">
        <v>135</v>
      </c>
      <c r="E1742" t="s">
        <v>225</v>
      </c>
      <c r="F1742" t="s">
        <v>3378</v>
      </c>
      <c r="G1742" t="str">
        <f>"00080171"</f>
        <v>00080171</v>
      </c>
      <c r="H1742" t="s">
        <v>757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70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55</v>
      </c>
      <c r="W1742">
        <v>385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3379</v>
      </c>
    </row>
    <row r="1743" spans="1:30" x14ac:dyDescent="0.25">
      <c r="H1743" t="s">
        <v>3380</v>
      </c>
    </row>
    <row r="1744" spans="1:30" x14ac:dyDescent="0.25">
      <c r="A1744">
        <v>869</v>
      </c>
      <c r="B1744">
        <v>2585</v>
      </c>
      <c r="C1744" t="s">
        <v>3381</v>
      </c>
      <c r="D1744" t="s">
        <v>1039</v>
      </c>
      <c r="E1744" t="s">
        <v>408</v>
      </c>
      <c r="F1744" t="s">
        <v>3382</v>
      </c>
      <c r="G1744" t="str">
        <f>"00358653"</f>
        <v>00358653</v>
      </c>
      <c r="H1744" t="s">
        <v>319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70</v>
      </c>
      <c r="O1744">
        <v>30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60</v>
      </c>
      <c r="W1744">
        <v>420</v>
      </c>
      <c r="X1744">
        <v>0</v>
      </c>
      <c r="Z1744">
        <v>1</v>
      </c>
      <c r="AA1744">
        <v>0</v>
      </c>
      <c r="AB1744">
        <v>0</v>
      </c>
      <c r="AC1744">
        <v>0</v>
      </c>
      <c r="AD1744" t="s">
        <v>3383</v>
      </c>
    </row>
    <row r="1745" spans="1:30" x14ac:dyDescent="0.25">
      <c r="H1745" t="s">
        <v>3384</v>
      </c>
    </row>
    <row r="1746" spans="1:30" x14ac:dyDescent="0.25">
      <c r="A1746">
        <v>870</v>
      </c>
      <c r="B1746">
        <v>875</v>
      </c>
      <c r="C1746" t="s">
        <v>3385</v>
      </c>
      <c r="D1746" t="s">
        <v>1336</v>
      </c>
      <c r="E1746" t="s">
        <v>3386</v>
      </c>
      <c r="F1746" t="s">
        <v>3387</v>
      </c>
      <c r="G1746" t="str">
        <f>"201401000795"</f>
        <v>201401000795</v>
      </c>
      <c r="H1746" t="s">
        <v>1675</v>
      </c>
      <c r="I1746">
        <v>0</v>
      </c>
      <c r="J1746">
        <v>0</v>
      </c>
      <c r="K1746">
        <v>0</v>
      </c>
      <c r="L1746">
        <v>200</v>
      </c>
      <c r="M1746">
        <v>0</v>
      </c>
      <c r="N1746">
        <v>50</v>
      </c>
      <c r="O1746">
        <v>50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32</v>
      </c>
      <c r="W1746">
        <v>224</v>
      </c>
      <c r="X1746">
        <v>0</v>
      </c>
      <c r="Z1746">
        <v>0</v>
      </c>
      <c r="AA1746">
        <v>0</v>
      </c>
      <c r="AB1746">
        <v>0</v>
      </c>
      <c r="AC1746">
        <v>0</v>
      </c>
      <c r="AD1746" t="s">
        <v>3388</v>
      </c>
    </row>
    <row r="1747" spans="1:30" x14ac:dyDescent="0.25">
      <c r="H1747" t="s">
        <v>3131</v>
      </c>
    </row>
    <row r="1748" spans="1:30" x14ac:dyDescent="0.25">
      <c r="A1748">
        <v>871</v>
      </c>
      <c r="B1748">
        <v>561</v>
      </c>
      <c r="C1748" t="s">
        <v>3389</v>
      </c>
      <c r="D1748" t="s">
        <v>103</v>
      </c>
      <c r="E1748" t="s">
        <v>77</v>
      </c>
      <c r="F1748" t="s">
        <v>3390</v>
      </c>
      <c r="G1748" t="str">
        <f>"00308318"</f>
        <v>00308318</v>
      </c>
      <c r="H1748" t="s">
        <v>335</v>
      </c>
      <c r="I1748">
        <v>0</v>
      </c>
      <c r="J1748">
        <v>0</v>
      </c>
      <c r="K1748">
        <v>0</v>
      </c>
      <c r="L1748">
        <v>0</v>
      </c>
      <c r="M1748">
        <v>100</v>
      </c>
      <c r="N1748">
        <v>30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44</v>
      </c>
      <c r="W1748">
        <v>308</v>
      </c>
      <c r="X1748">
        <v>0</v>
      </c>
      <c r="Z1748">
        <v>0</v>
      </c>
      <c r="AA1748">
        <v>0</v>
      </c>
      <c r="AB1748">
        <v>0</v>
      </c>
      <c r="AC1748">
        <v>0</v>
      </c>
      <c r="AD1748" t="s">
        <v>3391</v>
      </c>
    </row>
    <row r="1749" spans="1:30" x14ac:dyDescent="0.25">
      <c r="H1749">
        <v>1072</v>
      </c>
    </row>
    <row r="1750" spans="1:30" x14ac:dyDescent="0.25">
      <c r="A1750">
        <v>872</v>
      </c>
      <c r="B1750">
        <v>3647</v>
      </c>
      <c r="C1750" t="s">
        <v>2867</v>
      </c>
      <c r="D1750" t="s">
        <v>473</v>
      </c>
      <c r="E1750" t="s">
        <v>135</v>
      </c>
      <c r="F1750" t="s">
        <v>2868</v>
      </c>
      <c r="G1750" t="str">
        <f>"00340963"</f>
        <v>00340963</v>
      </c>
      <c r="H1750" t="s">
        <v>1146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84</v>
      </c>
      <c r="W1750">
        <v>588</v>
      </c>
      <c r="X1750">
        <v>0</v>
      </c>
      <c r="Z1750">
        <v>0</v>
      </c>
      <c r="AA1750">
        <v>0</v>
      </c>
      <c r="AB1750">
        <v>0</v>
      </c>
      <c r="AC1750">
        <v>0</v>
      </c>
      <c r="AD1750" t="s">
        <v>3392</v>
      </c>
    </row>
    <row r="1751" spans="1:30" x14ac:dyDescent="0.25">
      <c r="H1751" t="s">
        <v>2162</v>
      </c>
    </row>
    <row r="1752" spans="1:30" x14ac:dyDescent="0.25">
      <c r="A1752">
        <v>873</v>
      </c>
      <c r="B1752">
        <v>623</v>
      </c>
      <c r="C1752" t="s">
        <v>3393</v>
      </c>
      <c r="D1752" t="s">
        <v>59</v>
      </c>
      <c r="E1752" t="s">
        <v>77</v>
      </c>
      <c r="F1752" t="s">
        <v>3394</v>
      </c>
      <c r="G1752" t="str">
        <f>"200801008021"</f>
        <v>200801008021</v>
      </c>
      <c r="H1752" t="s">
        <v>1146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84</v>
      </c>
      <c r="W1752">
        <v>588</v>
      </c>
      <c r="X1752">
        <v>0</v>
      </c>
      <c r="Z1752">
        <v>0</v>
      </c>
      <c r="AA1752">
        <v>0</v>
      </c>
      <c r="AB1752">
        <v>0</v>
      </c>
      <c r="AC1752">
        <v>0</v>
      </c>
      <c r="AD1752" t="s">
        <v>3392</v>
      </c>
    </row>
    <row r="1753" spans="1:30" x14ac:dyDescent="0.25">
      <c r="H1753" t="s">
        <v>3395</v>
      </c>
    </row>
    <row r="1754" spans="1:30" x14ac:dyDescent="0.25">
      <c r="A1754">
        <v>874</v>
      </c>
      <c r="B1754">
        <v>1626</v>
      </c>
      <c r="C1754" t="s">
        <v>2983</v>
      </c>
      <c r="D1754" t="s">
        <v>89</v>
      </c>
      <c r="E1754" t="s">
        <v>66</v>
      </c>
      <c r="F1754" t="s">
        <v>2984</v>
      </c>
      <c r="G1754" t="str">
        <f>"00293337"</f>
        <v>00293337</v>
      </c>
      <c r="H1754" t="s">
        <v>1164</v>
      </c>
      <c r="I1754">
        <v>0</v>
      </c>
      <c r="J1754">
        <v>0</v>
      </c>
      <c r="K1754">
        <v>0</v>
      </c>
      <c r="L1754">
        <v>0</v>
      </c>
      <c r="M1754">
        <v>100</v>
      </c>
      <c r="N1754">
        <v>30</v>
      </c>
      <c r="O1754">
        <v>30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47</v>
      </c>
      <c r="W1754">
        <v>329</v>
      </c>
      <c r="X1754">
        <v>0</v>
      </c>
      <c r="Z1754">
        <v>1</v>
      </c>
      <c r="AA1754">
        <v>0</v>
      </c>
      <c r="AB1754">
        <v>0</v>
      </c>
      <c r="AC1754">
        <v>0</v>
      </c>
      <c r="AD1754" t="s">
        <v>3396</v>
      </c>
    </row>
    <row r="1755" spans="1:30" x14ac:dyDescent="0.25">
      <c r="H1755" t="s">
        <v>2986</v>
      </c>
    </row>
    <row r="1756" spans="1:30" x14ac:dyDescent="0.25">
      <c r="A1756">
        <v>875</v>
      </c>
      <c r="B1756">
        <v>2536</v>
      </c>
      <c r="C1756" t="s">
        <v>3397</v>
      </c>
      <c r="D1756" t="s">
        <v>1129</v>
      </c>
      <c r="E1756" t="s">
        <v>103</v>
      </c>
      <c r="F1756" t="s">
        <v>3398</v>
      </c>
      <c r="G1756" t="str">
        <f>"00352284"</f>
        <v>00352284</v>
      </c>
      <c r="H1756" t="s">
        <v>3399</v>
      </c>
      <c r="I1756">
        <v>0</v>
      </c>
      <c r="J1756">
        <v>0</v>
      </c>
      <c r="K1756">
        <v>0</v>
      </c>
      <c r="L1756">
        <v>200</v>
      </c>
      <c r="M1756">
        <v>0</v>
      </c>
      <c r="N1756">
        <v>70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24</v>
      </c>
      <c r="W1756">
        <v>168</v>
      </c>
      <c r="X1756">
        <v>0</v>
      </c>
      <c r="Z1756">
        <v>0</v>
      </c>
      <c r="AA1756">
        <v>0</v>
      </c>
      <c r="AB1756">
        <v>0</v>
      </c>
      <c r="AC1756">
        <v>0</v>
      </c>
      <c r="AD1756" t="s">
        <v>3400</v>
      </c>
    </row>
    <row r="1757" spans="1:30" x14ac:dyDescent="0.25">
      <c r="H1757" t="s">
        <v>3313</v>
      </c>
    </row>
    <row r="1758" spans="1:30" x14ac:dyDescent="0.25">
      <c r="A1758">
        <v>876</v>
      </c>
      <c r="B1758">
        <v>2196</v>
      </c>
      <c r="C1758" t="s">
        <v>3401</v>
      </c>
      <c r="D1758" t="s">
        <v>3402</v>
      </c>
      <c r="E1758" t="s">
        <v>3403</v>
      </c>
      <c r="F1758" t="s">
        <v>3404</v>
      </c>
      <c r="G1758" t="str">
        <f>"00036980"</f>
        <v>00036980</v>
      </c>
      <c r="H1758" t="s">
        <v>3405</v>
      </c>
      <c r="I1758">
        <v>0</v>
      </c>
      <c r="J1758">
        <v>0</v>
      </c>
      <c r="K1758">
        <v>0</v>
      </c>
      <c r="L1758">
        <v>200</v>
      </c>
      <c r="M1758">
        <v>0</v>
      </c>
      <c r="N1758">
        <v>30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28</v>
      </c>
      <c r="W1758">
        <v>196</v>
      </c>
      <c r="X1758">
        <v>0</v>
      </c>
      <c r="Z1758">
        <v>0</v>
      </c>
      <c r="AA1758">
        <v>0</v>
      </c>
      <c r="AB1758">
        <v>0</v>
      </c>
      <c r="AC1758">
        <v>0</v>
      </c>
      <c r="AD1758" t="s">
        <v>3406</v>
      </c>
    </row>
    <row r="1759" spans="1:30" x14ac:dyDescent="0.25">
      <c r="H1759" t="s">
        <v>3407</v>
      </c>
    </row>
    <row r="1760" spans="1:30" x14ac:dyDescent="0.25">
      <c r="A1760">
        <v>877</v>
      </c>
      <c r="B1760">
        <v>2113</v>
      </c>
      <c r="C1760" t="s">
        <v>3408</v>
      </c>
      <c r="D1760" t="s">
        <v>3409</v>
      </c>
      <c r="E1760" t="s">
        <v>300</v>
      </c>
      <c r="F1760" t="s">
        <v>3410</v>
      </c>
      <c r="G1760" t="str">
        <f>"00326065"</f>
        <v>00326065</v>
      </c>
      <c r="H1760">
        <v>660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30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84</v>
      </c>
      <c r="W1760">
        <v>588</v>
      </c>
      <c r="X1760">
        <v>0</v>
      </c>
      <c r="Z1760">
        <v>0</v>
      </c>
      <c r="AA1760">
        <v>0</v>
      </c>
      <c r="AB1760">
        <v>0</v>
      </c>
      <c r="AC1760">
        <v>0</v>
      </c>
      <c r="AD1760">
        <v>1278</v>
      </c>
    </row>
    <row r="1761" spans="1:30" x14ac:dyDescent="0.25">
      <c r="H1761">
        <v>1089</v>
      </c>
    </row>
    <row r="1762" spans="1:30" x14ac:dyDescent="0.25">
      <c r="A1762">
        <v>878</v>
      </c>
      <c r="B1762">
        <v>309</v>
      </c>
      <c r="C1762" t="s">
        <v>3411</v>
      </c>
      <c r="D1762" t="s">
        <v>3412</v>
      </c>
      <c r="E1762" t="s">
        <v>443</v>
      </c>
      <c r="F1762" t="s">
        <v>3413</v>
      </c>
      <c r="G1762" t="str">
        <f>"00212903"</f>
        <v>00212903</v>
      </c>
      <c r="H1762" t="s">
        <v>17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72</v>
      </c>
      <c r="W1762">
        <v>504</v>
      </c>
      <c r="X1762">
        <v>0</v>
      </c>
      <c r="Z1762">
        <v>0</v>
      </c>
      <c r="AA1762">
        <v>0</v>
      </c>
      <c r="AB1762">
        <v>0</v>
      </c>
      <c r="AC1762">
        <v>0</v>
      </c>
      <c r="AD1762" t="s">
        <v>3414</v>
      </c>
    </row>
    <row r="1763" spans="1:30" x14ac:dyDescent="0.25">
      <c r="H1763" t="s">
        <v>933</v>
      </c>
    </row>
    <row r="1764" spans="1:30" x14ac:dyDescent="0.25">
      <c r="A1764">
        <v>879</v>
      </c>
      <c r="B1764">
        <v>487</v>
      </c>
      <c r="C1764" t="s">
        <v>3415</v>
      </c>
      <c r="D1764" t="s">
        <v>2237</v>
      </c>
      <c r="E1764" t="s">
        <v>899</v>
      </c>
      <c r="F1764" t="s">
        <v>3416</v>
      </c>
      <c r="G1764" t="str">
        <f>"00251522"</f>
        <v>00251522</v>
      </c>
      <c r="H1764">
        <v>770</v>
      </c>
      <c r="I1764">
        <v>0</v>
      </c>
      <c r="J1764">
        <v>0</v>
      </c>
      <c r="K1764">
        <v>0</v>
      </c>
      <c r="L1764">
        <v>200</v>
      </c>
      <c r="M1764">
        <v>0</v>
      </c>
      <c r="N1764">
        <v>70</v>
      </c>
      <c r="O1764">
        <v>30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15</v>
      </c>
      <c r="W1764">
        <v>105</v>
      </c>
      <c r="X1764">
        <v>0</v>
      </c>
      <c r="Z1764">
        <v>0</v>
      </c>
      <c r="AA1764">
        <v>0</v>
      </c>
      <c r="AB1764">
        <v>6</v>
      </c>
      <c r="AC1764">
        <v>102</v>
      </c>
      <c r="AD1764">
        <v>1277</v>
      </c>
    </row>
    <row r="1765" spans="1:30" x14ac:dyDescent="0.25">
      <c r="H1765" t="s">
        <v>3417</v>
      </c>
    </row>
    <row r="1766" spans="1:30" x14ac:dyDescent="0.25">
      <c r="A1766">
        <v>880</v>
      </c>
      <c r="B1766">
        <v>234</v>
      </c>
      <c r="C1766" t="s">
        <v>3418</v>
      </c>
      <c r="D1766" t="s">
        <v>3419</v>
      </c>
      <c r="E1766" t="s">
        <v>225</v>
      </c>
      <c r="F1766" t="s">
        <v>3420</v>
      </c>
      <c r="G1766" t="str">
        <f>"00251973"</f>
        <v>00251973</v>
      </c>
      <c r="H1766">
        <v>759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70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64</v>
      </c>
      <c r="W1766">
        <v>448</v>
      </c>
      <c r="X1766">
        <v>0</v>
      </c>
      <c r="Z1766">
        <v>0</v>
      </c>
      <c r="AA1766">
        <v>0</v>
      </c>
      <c r="AB1766">
        <v>0</v>
      </c>
      <c r="AC1766">
        <v>0</v>
      </c>
      <c r="AD1766">
        <v>1277</v>
      </c>
    </row>
    <row r="1767" spans="1:30" x14ac:dyDescent="0.25">
      <c r="H1767" t="s">
        <v>1152</v>
      </c>
    </row>
    <row r="1768" spans="1:30" x14ac:dyDescent="0.25">
      <c r="A1768">
        <v>881</v>
      </c>
      <c r="B1768">
        <v>121</v>
      </c>
      <c r="C1768" t="s">
        <v>643</v>
      </c>
      <c r="D1768" t="s">
        <v>135</v>
      </c>
      <c r="E1768" t="s">
        <v>35</v>
      </c>
      <c r="F1768" t="s">
        <v>3421</v>
      </c>
      <c r="G1768" t="str">
        <f>"201406008286"</f>
        <v>201406008286</v>
      </c>
      <c r="H1768" t="s">
        <v>2658</v>
      </c>
      <c r="I1768">
        <v>150</v>
      </c>
      <c r="J1768">
        <v>0</v>
      </c>
      <c r="K1768">
        <v>0</v>
      </c>
      <c r="L1768">
        <v>200</v>
      </c>
      <c r="M1768">
        <v>30</v>
      </c>
      <c r="N1768">
        <v>0</v>
      </c>
      <c r="O1768">
        <v>30</v>
      </c>
      <c r="P1768">
        <v>50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W1768">
        <v>0</v>
      </c>
      <c r="X1768">
        <v>0</v>
      </c>
      <c r="Z1768">
        <v>1</v>
      </c>
      <c r="AA1768">
        <v>0</v>
      </c>
      <c r="AB1768">
        <v>6</v>
      </c>
      <c r="AC1768">
        <v>102</v>
      </c>
      <c r="AD1768" t="s">
        <v>3422</v>
      </c>
    </row>
    <row r="1769" spans="1:30" x14ac:dyDescent="0.25">
      <c r="H1769" t="s">
        <v>3423</v>
      </c>
    </row>
    <row r="1770" spans="1:30" x14ac:dyDescent="0.25">
      <c r="A1770">
        <v>882</v>
      </c>
      <c r="B1770">
        <v>2158</v>
      </c>
      <c r="C1770" t="s">
        <v>3424</v>
      </c>
      <c r="D1770" t="s">
        <v>77</v>
      </c>
      <c r="E1770" t="s">
        <v>148</v>
      </c>
      <c r="F1770" t="s">
        <v>3425</v>
      </c>
      <c r="G1770" t="str">
        <f>"00297983"</f>
        <v>00297983</v>
      </c>
      <c r="H1770" t="s">
        <v>3426</v>
      </c>
      <c r="I1770">
        <v>0</v>
      </c>
      <c r="J1770">
        <v>0</v>
      </c>
      <c r="K1770">
        <v>0</v>
      </c>
      <c r="L1770">
        <v>200</v>
      </c>
      <c r="M1770">
        <v>0</v>
      </c>
      <c r="N1770">
        <v>50</v>
      </c>
      <c r="O1770">
        <v>30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17</v>
      </c>
      <c r="W1770">
        <v>119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3427</v>
      </c>
    </row>
    <row r="1771" spans="1:30" x14ac:dyDescent="0.25">
      <c r="H1771" t="s">
        <v>1330</v>
      </c>
    </row>
    <row r="1772" spans="1:30" x14ac:dyDescent="0.25">
      <c r="A1772">
        <v>883</v>
      </c>
      <c r="B1772">
        <v>1053</v>
      </c>
      <c r="C1772" t="s">
        <v>3428</v>
      </c>
      <c r="D1772" t="s">
        <v>35</v>
      </c>
      <c r="E1772" t="s">
        <v>731</v>
      </c>
      <c r="F1772" t="s">
        <v>3429</v>
      </c>
      <c r="G1772" t="str">
        <f>"00302450"</f>
        <v>00302450</v>
      </c>
      <c r="H1772" t="s">
        <v>3430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30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84</v>
      </c>
      <c r="W1772">
        <v>588</v>
      </c>
      <c r="X1772">
        <v>0</v>
      </c>
      <c r="Z1772">
        <v>0</v>
      </c>
      <c r="AA1772">
        <v>0</v>
      </c>
      <c r="AB1772">
        <v>0</v>
      </c>
      <c r="AC1772">
        <v>0</v>
      </c>
      <c r="AD1772" t="s">
        <v>3431</v>
      </c>
    </row>
    <row r="1773" spans="1:30" x14ac:dyDescent="0.25">
      <c r="H1773">
        <v>1086</v>
      </c>
    </row>
    <row r="1774" spans="1:30" x14ac:dyDescent="0.25">
      <c r="A1774">
        <v>884</v>
      </c>
      <c r="B1774">
        <v>1022</v>
      </c>
      <c r="C1774" t="s">
        <v>3432</v>
      </c>
      <c r="D1774" t="s">
        <v>34</v>
      </c>
      <c r="E1774" t="s">
        <v>77</v>
      </c>
      <c r="F1774" t="s">
        <v>3433</v>
      </c>
      <c r="G1774" t="str">
        <f>"00312411"</f>
        <v>00312411</v>
      </c>
      <c r="H1774" t="s">
        <v>239</v>
      </c>
      <c r="I1774">
        <v>0</v>
      </c>
      <c r="J1774">
        <v>0</v>
      </c>
      <c r="K1774">
        <v>0</v>
      </c>
      <c r="L1774">
        <v>200</v>
      </c>
      <c r="M1774">
        <v>0</v>
      </c>
      <c r="N1774">
        <v>70</v>
      </c>
      <c r="O1774">
        <v>0</v>
      </c>
      <c r="P1774">
        <v>30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9</v>
      </c>
      <c r="W1774">
        <v>63</v>
      </c>
      <c r="X1774">
        <v>0</v>
      </c>
      <c r="Z1774">
        <v>0</v>
      </c>
      <c r="AA1774">
        <v>0</v>
      </c>
      <c r="AB1774">
        <v>8</v>
      </c>
      <c r="AC1774">
        <v>136</v>
      </c>
      <c r="AD1774" t="s">
        <v>3434</v>
      </c>
    </row>
    <row r="1775" spans="1:30" x14ac:dyDescent="0.25">
      <c r="H1775" t="s">
        <v>3435</v>
      </c>
    </row>
    <row r="1776" spans="1:30" x14ac:dyDescent="0.25">
      <c r="A1776">
        <v>885</v>
      </c>
      <c r="B1776">
        <v>2353</v>
      </c>
      <c r="C1776" t="s">
        <v>3436</v>
      </c>
      <c r="D1776" t="s">
        <v>48</v>
      </c>
      <c r="E1776" t="s">
        <v>77</v>
      </c>
      <c r="F1776" t="s">
        <v>3437</v>
      </c>
      <c r="G1776" t="str">
        <f>"201406012973"</f>
        <v>201406012973</v>
      </c>
      <c r="H1776" t="s">
        <v>255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30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84</v>
      </c>
      <c r="W1776">
        <v>588</v>
      </c>
      <c r="X1776">
        <v>0</v>
      </c>
      <c r="Z1776">
        <v>0</v>
      </c>
      <c r="AA1776">
        <v>0</v>
      </c>
      <c r="AB1776">
        <v>0</v>
      </c>
      <c r="AC1776">
        <v>0</v>
      </c>
      <c r="AD1776" t="s">
        <v>3438</v>
      </c>
    </row>
    <row r="1777" spans="1:30" x14ac:dyDescent="0.25">
      <c r="H1777" t="s">
        <v>729</v>
      </c>
    </row>
    <row r="1778" spans="1:30" x14ac:dyDescent="0.25">
      <c r="A1778">
        <v>886</v>
      </c>
      <c r="B1778">
        <v>1000</v>
      </c>
      <c r="C1778" t="s">
        <v>3439</v>
      </c>
      <c r="D1778" t="s">
        <v>3440</v>
      </c>
      <c r="E1778" t="s">
        <v>42</v>
      </c>
      <c r="F1778" t="s">
        <v>3441</v>
      </c>
      <c r="G1778" t="str">
        <f>"00306086"</f>
        <v>00306086</v>
      </c>
      <c r="H1778" t="s">
        <v>354</v>
      </c>
      <c r="I1778">
        <v>0</v>
      </c>
      <c r="J1778">
        <v>0</v>
      </c>
      <c r="K1778">
        <v>0</v>
      </c>
      <c r="L1778">
        <v>200</v>
      </c>
      <c r="M1778">
        <v>0</v>
      </c>
      <c r="N1778">
        <v>30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36</v>
      </c>
      <c r="W1778">
        <v>252</v>
      </c>
      <c r="X1778">
        <v>0</v>
      </c>
      <c r="Z1778">
        <v>0</v>
      </c>
      <c r="AA1778">
        <v>0</v>
      </c>
      <c r="AB1778">
        <v>0</v>
      </c>
      <c r="AC1778">
        <v>0</v>
      </c>
      <c r="AD1778" t="s">
        <v>3442</v>
      </c>
    </row>
    <row r="1779" spans="1:30" x14ac:dyDescent="0.25">
      <c r="H1779" t="s">
        <v>3443</v>
      </c>
    </row>
    <row r="1780" spans="1:30" x14ac:dyDescent="0.25">
      <c r="A1780">
        <v>887</v>
      </c>
      <c r="B1780">
        <v>2740</v>
      </c>
      <c r="C1780" t="s">
        <v>3444</v>
      </c>
      <c r="D1780" t="s">
        <v>89</v>
      </c>
      <c r="E1780" t="s">
        <v>2211</v>
      </c>
      <c r="F1780" t="s">
        <v>3445</v>
      </c>
      <c r="G1780" t="str">
        <f>"201504003599"</f>
        <v>201504003599</v>
      </c>
      <c r="H1780" t="s">
        <v>980</v>
      </c>
      <c r="I1780">
        <v>0</v>
      </c>
      <c r="J1780">
        <v>0</v>
      </c>
      <c r="K1780">
        <v>0</v>
      </c>
      <c r="L1780">
        <v>200</v>
      </c>
      <c r="M1780">
        <v>0</v>
      </c>
      <c r="N1780">
        <v>30</v>
      </c>
      <c r="O1780">
        <v>0</v>
      </c>
      <c r="P1780">
        <v>30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26</v>
      </c>
      <c r="W1780">
        <v>182</v>
      </c>
      <c r="X1780">
        <v>0</v>
      </c>
      <c r="Z1780">
        <v>0</v>
      </c>
      <c r="AA1780">
        <v>0</v>
      </c>
      <c r="AB1780">
        <v>0</v>
      </c>
      <c r="AC1780">
        <v>0</v>
      </c>
      <c r="AD1780" t="s">
        <v>3446</v>
      </c>
    </row>
    <row r="1781" spans="1:30" x14ac:dyDescent="0.25">
      <c r="H1781" t="s">
        <v>3447</v>
      </c>
    </row>
    <row r="1782" spans="1:30" x14ac:dyDescent="0.25">
      <c r="A1782">
        <v>888</v>
      </c>
      <c r="B1782">
        <v>4995</v>
      </c>
      <c r="C1782" t="s">
        <v>3448</v>
      </c>
      <c r="D1782" t="s">
        <v>48</v>
      </c>
      <c r="E1782" t="s">
        <v>135</v>
      </c>
      <c r="F1782" t="s">
        <v>3449</v>
      </c>
      <c r="G1782" t="str">
        <f>"00325074"</f>
        <v>00325074</v>
      </c>
      <c r="H1782" t="s">
        <v>3450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84</v>
      </c>
      <c r="W1782">
        <v>588</v>
      </c>
      <c r="X1782">
        <v>0</v>
      </c>
      <c r="Z1782">
        <v>1</v>
      </c>
      <c r="AA1782">
        <v>0</v>
      </c>
      <c r="AB1782">
        <v>0</v>
      </c>
      <c r="AC1782">
        <v>0</v>
      </c>
      <c r="AD1782" t="s">
        <v>3451</v>
      </c>
    </row>
    <row r="1783" spans="1:30" x14ac:dyDescent="0.25">
      <c r="H1783" t="s">
        <v>1957</v>
      </c>
    </row>
    <row r="1784" spans="1:30" x14ac:dyDescent="0.25">
      <c r="A1784">
        <v>889</v>
      </c>
      <c r="B1784">
        <v>4167</v>
      </c>
      <c r="C1784" t="s">
        <v>3452</v>
      </c>
      <c r="D1784" t="s">
        <v>28</v>
      </c>
      <c r="E1784" t="s">
        <v>103</v>
      </c>
      <c r="F1784" t="s">
        <v>3453</v>
      </c>
      <c r="G1784" t="str">
        <f>"201512000471"</f>
        <v>201512000471</v>
      </c>
      <c r="H1784" t="s">
        <v>348</v>
      </c>
      <c r="I1784">
        <v>0</v>
      </c>
      <c r="J1784">
        <v>0</v>
      </c>
      <c r="K1784">
        <v>0</v>
      </c>
      <c r="L1784">
        <v>200</v>
      </c>
      <c r="M1784">
        <v>0</v>
      </c>
      <c r="N1784">
        <v>70</v>
      </c>
      <c r="O1784">
        <v>0</v>
      </c>
      <c r="P1784">
        <v>50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28</v>
      </c>
      <c r="W1784">
        <v>196</v>
      </c>
      <c r="X1784">
        <v>0</v>
      </c>
      <c r="Z1784">
        <v>0</v>
      </c>
      <c r="AA1784">
        <v>0</v>
      </c>
      <c r="AB1784">
        <v>0</v>
      </c>
      <c r="AC1784">
        <v>0</v>
      </c>
      <c r="AD1784" t="s">
        <v>3454</v>
      </c>
    </row>
    <row r="1785" spans="1:30" x14ac:dyDescent="0.25">
      <c r="H1785" t="s">
        <v>3455</v>
      </c>
    </row>
    <row r="1786" spans="1:30" x14ac:dyDescent="0.25">
      <c r="A1786">
        <v>890</v>
      </c>
      <c r="B1786">
        <v>2642</v>
      </c>
      <c r="C1786" t="s">
        <v>3456</v>
      </c>
      <c r="D1786" t="s">
        <v>327</v>
      </c>
      <c r="E1786" t="s">
        <v>77</v>
      </c>
      <c r="F1786" t="s">
        <v>3457</v>
      </c>
      <c r="G1786" t="str">
        <f>"00367827"</f>
        <v>00367827</v>
      </c>
      <c r="H1786" t="s">
        <v>1758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70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59</v>
      </c>
      <c r="W1786">
        <v>413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3458</v>
      </c>
    </row>
    <row r="1787" spans="1:30" x14ac:dyDescent="0.25">
      <c r="H1787">
        <v>1085</v>
      </c>
    </row>
    <row r="1788" spans="1:30" x14ac:dyDescent="0.25">
      <c r="A1788">
        <v>891</v>
      </c>
      <c r="B1788">
        <v>1046</v>
      </c>
      <c r="C1788" t="s">
        <v>3459</v>
      </c>
      <c r="D1788" t="s">
        <v>148</v>
      </c>
      <c r="E1788" t="s">
        <v>42</v>
      </c>
      <c r="F1788" t="s">
        <v>3460</v>
      </c>
      <c r="G1788" t="str">
        <f>"00150659"</f>
        <v>00150659</v>
      </c>
      <c r="H1788" t="s">
        <v>1758</v>
      </c>
      <c r="I1788">
        <v>0</v>
      </c>
      <c r="J1788">
        <v>0</v>
      </c>
      <c r="K1788">
        <v>0</v>
      </c>
      <c r="L1788">
        <v>200</v>
      </c>
      <c r="M1788">
        <v>0</v>
      </c>
      <c r="N1788">
        <v>30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36</v>
      </c>
      <c r="W1788">
        <v>252</v>
      </c>
      <c r="X1788">
        <v>0</v>
      </c>
      <c r="Z1788">
        <v>0</v>
      </c>
      <c r="AA1788">
        <v>0</v>
      </c>
      <c r="AB1788">
        <v>0</v>
      </c>
      <c r="AC1788">
        <v>0</v>
      </c>
      <c r="AD1788" t="s">
        <v>3461</v>
      </c>
    </row>
    <row r="1789" spans="1:30" x14ac:dyDescent="0.25">
      <c r="H1789" t="s">
        <v>3462</v>
      </c>
    </row>
    <row r="1790" spans="1:30" x14ac:dyDescent="0.25">
      <c r="A1790">
        <v>892</v>
      </c>
      <c r="B1790">
        <v>3617</v>
      </c>
      <c r="C1790" t="s">
        <v>1048</v>
      </c>
      <c r="D1790" t="s">
        <v>435</v>
      </c>
      <c r="E1790" t="s">
        <v>119</v>
      </c>
      <c r="F1790" t="s">
        <v>2517</v>
      </c>
      <c r="G1790" t="str">
        <f>"00246914"</f>
        <v>00246914</v>
      </c>
      <c r="H1790" t="s">
        <v>2518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84</v>
      </c>
      <c r="W1790">
        <v>588</v>
      </c>
      <c r="X1790">
        <v>0</v>
      </c>
      <c r="Z1790">
        <v>0</v>
      </c>
      <c r="AA1790">
        <v>0</v>
      </c>
      <c r="AB1790">
        <v>0</v>
      </c>
      <c r="AC1790">
        <v>0</v>
      </c>
      <c r="AD1790" t="s">
        <v>3463</v>
      </c>
    </row>
    <row r="1791" spans="1:30" x14ac:dyDescent="0.25">
      <c r="H1791" t="s">
        <v>2520</v>
      </c>
    </row>
    <row r="1792" spans="1:30" x14ac:dyDescent="0.25">
      <c r="A1792">
        <v>893</v>
      </c>
      <c r="B1792">
        <v>876</v>
      </c>
      <c r="C1792" t="s">
        <v>3464</v>
      </c>
      <c r="D1792" t="s">
        <v>65</v>
      </c>
      <c r="E1792" t="s">
        <v>576</v>
      </c>
      <c r="F1792" t="s">
        <v>3465</v>
      </c>
      <c r="G1792" t="str">
        <f>"201504001070"</f>
        <v>201504001070</v>
      </c>
      <c r="H1792">
        <v>748</v>
      </c>
      <c r="I1792">
        <v>0</v>
      </c>
      <c r="J1792">
        <v>0</v>
      </c>
      <c r="K1792">
        <v>0</v>
      </c>
      <c r="L1792">
        <v>200</v>
      </c>
      <c r="M1792">
        <v>0</v>
      </c>
      <c r="N1792">
        <v>70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35</v>
      </c>
      <c r="W1792">
        <v>245</v>
      </c>
      <c r="X1792">
        <v>0</v>
      </c>
      <c r="Z1792">
        <v>1</v>
      </c>
      <c r="AA1792">
        <v>0</v>
      </c>
      <c r="AB1792">
        <v>0</v>
      </c>
      <c r="AC1792">
        <v>0</v>
      </c>
      <c r="AD1792">
        <v>1263</v>
      </c>
    </row>
    <row r="1793" spans="1:30" x14ac:dyDescent="0.25">
      <c r="H1793" t="s">
        <v>3466</v>
      </c>
    </row>
    <row r="1794" spans="1:30" x14ac:dyDescent="0.25">
      <c r="A1794">
        <v>894</v>
      </c>
      <c r="B1794">
        <v>5066</v>
      </c>
      <c r="C1794" t="s">
        <v>3467</v>
      </c>
      <c r="D1794" t="s">
        <v>300</v>
      </c>
      <c r="E1794" t="s">
        <v>435</v>
      </c>
      <c r="F1794" t="s">
        <v>3468</v>
      </c>
      <c r="G1794" t="str">
        <f>"00368601"</f>
        <v>00368601</v>
      </c>
      <c r="H1794" t="s">
        <v>3371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84</v>
      </c>
      <c r="W1794">
        <v>588</v>
      </c>
      <c r="X1794">
        <v>0</v>
      </c>
      <c r="Z1794">
        <v>0</v>
      </c>
      <c r="AA1794">
        <v>0</v>
      </c>
      <c r="AB1794">
        <v>0</v>
      </c>
      <c r="AC1794">
        <v>0</v>
      </c>
      <c r="AD1794" t="s">
        <v>3469</v>
      </c>
    </row>
    <row r="1795" spans="1:30" x14ac:dyDescent="0.25">
      <c r="H1795" t="s">
        <v>3470</v>
      </c>
    </row>
    <row r="1796" spans="1:30" x14ac:dyDescent="0.25">
      <c r="A1796">
        <v>895</v>
      </c>
      <c r="B1796">
        <v>655</v>
      </c>
      <c r="C1796" t="s">
        <v>3471</v>
      </c>
      <c r="D1796" t="s">
        <v>89</v>
      </c>
      <c r="E1796" t="s">
        <v>28</v>
      </c>
      <c r="F1796" t="s">
        <v>3472</v>
      </c>
      <c r="G1796" t="str">
        <f>"00274325"</f>
        <v>00274325</v>
      </c>
      <c r="H1796">
        <v>671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84</v>
      </c>
      <c r="W1796">
        <v>588</v>
      </c>
      <c r="X1796">
        <v>0</v>
      </c>
      <c r="Z1796">
        <v>0</v>
      </c>
      <c r="AA1796">
        <v>0</v>
      </c>
      <c r="AB1796">
        <v>0</v>
      </c>
      <c r="AC1796">
        <v>0</v>
      </c>
      <c r="AD1796">
        <v>1259</v>
      </c>
    </row>
    <row r="1797" spans="1:30" x14ac:dyDescent="0.25">
      <c r="H1797" t="s">
        <v>933</v>
      </c>
    </row>
    <row r="1798" spans="1:30" x14ac:dyDescent="0.25">
      <c r="A1798">
        <v>896</v>
      </c>
      <c r="B1798">
        <v>3992</v>
      </c>
      <c r="C1798" t="s">
        <v>3473</v>
      </c>
      <c r="D1798" t="s">
        <v>28</v>
      </c>
      <c r="E1798" t="s">
        <v>300</v>
      </c>
      <c r="F1798" t="s">
        <v>3474</v>
      </c>
      <c r="G1798" t="str">
        <f>"00277999"</f>
        <v>00277999</v>
      </c>
      <c r="H1798">
        <v>671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84</v>
      </c>
      <c r="W1798">
        <v>588</v>
      </c>
      <c r="X1798">
        <v>0</v>
      </c>
      <c r="Z1798">
        <v>0</v>
      </c>
      <c r="AA1798">
        <v>0</v>
      </c>
      <c r="AB1798">
        <v>0</v>
      </c>
      <c r="AC1798">
        <v>0</v>
      </c>
      <c r="AD1798">
        <v>1259</v>
      </c>
    </row>
    <row r="1799" spans="1:30" x14ac:dyDescent="0.25">
      <c r="H1799">
        <v>1087</v>
      </c>
    </row>
    <row r="1800" spans="1:30" x14ac:dyDescent="0.25">
      <c r="A1800">
        <v>897</v>
      </c>
      <c r="B1800">
        <v>4514</v>
      </c>
      <c r="C1800" t="s">
        <v>1048</v>
      </c>
      <c r="D1800" t="s">
        <v>59</v>
      </c>
      <c r="E1800" t="s">
        <v>42</v>
      </c>
      <c r="F1800" t="s">
        <v>3475</v>
      </c>
      <c r="G1800" t="str">
        <f>"00079864"</f>
        <v>00079864</v>
      </c>
      <c r="H1800" t="s">
        <v>115</v>
      </c>
      <c r="I1800">
        <v>150</v>
      </c>
      <c r="J1800">
        <v>0</v>
      </c>
      <c r="K1800">
        <v>0</v>
      </c>
      <c r="L1800">
        <v>0</v>
      </c>
      <c r="M1800">
        <v>0</v>
      </c>
      <c r="N1800">
        <v>30</v>
      </c>
      <c r="O1800">
        <v>0</v>
      </c>
      <c r="P1800">
        <v>0</v>
      </c>
      <c r="Q1800">
        <v>0</v>
      </c>
      <c r="R1800">
        <v>0</v>
      </c>
      <c r="S1800">
        <v>30</v>
      </c>
      <c r="T1800">
        <v>0</v>
      </c>
      <c r="U1800">
        <v>0</v>
      </c>
      <c r="V1800">
        <v>0</v>
      </c>
      <c r="W1800">
        <v>0</v>
      </c>
      <c r="X1800">
        <v>0</v>
      </c>
      <c r="Z1800">
        <v>0</v>
      </c>
      <c r="AA1800">
        <v>0</v>
      </c>
      <c r="AB1800">
        <v>13</v>
      </c>
      <c r="AC1800">
        <v>221</v>
      </c>
      <c r="AD1800" t="s">
        <v>3476</v>
      </c>
    </row>
    <row r="1801" spans="1:30" x14ac:dyDescent="0.25">
      <c r="H1801" t="s">
        <v>3477</v>
      </c>
    </row>
    <row r="1802" spans="1:30" x14ac:dyDescent="0.25">
      <c r="A1802">
        <v>898</v>
      </c>
      <c r="B1802">
        <v>4724</v>
      </c>
      <c r="C1802" t="s">
        <v>3478</v>
      </c>
      <c r="D1802" t="s">
        <v>77</v>
      </c>
      <c r="E1802" t="s">
        <v>3479</v>
      </c>
      <c r="F1802" t="s">
        <v>3480</v>
      </c>
      <c r="G1802" t="str">
        <f>"00364819"</f>
        <v>00364819</v>
      </c>
      <c r="H1802" t="s">
        <v>3254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84</v>
      </c>
      <c r="W1802">
        <v>588</v>
      </c>
      <c r="X1802">
        <v>0</v>
      </c>
      <c r="Z1802">
        <v>0</v>
      </c>
      <c r="AA1802">
        <v>0</v>
      </c>
      <c r="AB1802">
        <v>0</v>
      </c>
      <c r="AC1802">
        <v>0</v>
      </c>
      <c r="AD1802" t="s">
        <v>3481</v>
      </c>
    </row>
    <row r="1803" spans="1:30" x14ac:dyDescent="0.25">
      <c r="H1803" t="s">
        <v>3482</v>
      </c>
    </row>
    <row r="1804" spans="1:30" x14ac:dyDescent="0.25">
      <c r="A1804">
        <v>899</v>
      </c>
      <c r="B1804">
        <v>1257</v>
      </c>
      <c r="C1804" t="s">
        <v>3483</v>
      </c>
      <c r="D1804" t="s">
        <v>731</v>
      </c>
      <c r="E1804" t="s">
        <v>794</v>
      </c>
      <c r="F1804" t="s">
        <v>3484</v>
      </c>
      <c r="G1804" t="str">
        <f>"00251420"</f>
        <v>00251420</v>
      </c>
      <c r="H1804" t="s">
        <v>3485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84</v>
      </c>
      <c r="W1804">
        <v>588</v>
      </c>
      <c r="X1804">
        <v>0</v>
      </c>
      <c r="Z1804">
        <v>0</v>
      </c>
      <c r="AA1804">
        <v>0</v>
      </c>
      <c r="AB1804">
        <v>0</v>
      </c>
      <c r="AC1804">
        <v>0</v>
      </c>
      <c r="AD1804" t="s">
        <v>3486</v>
      </c>
    </row>
    <row r="1805" spans="1:30" x14ac:dyDescent="0.25">
      <c r="H1805" t="s">
        <v>3487</v>
      </c>
    </row>
    <row r="1806" spans="1:30" x14ac:dyDescent="0.25">
      <c r="A1806">
        <v>900</v>
      </c>
      <c r="B1806">
        <v>1464</v>
      </c>
      <c r="C1806" t="s">
        <v>3488</v>
      </c>
      <c r="D1806" t="s">
        <v>2289</v>
      </c>
      <c r="E1806" t="s">
        <v>3489</v>
      </c>
      <c r="F1806" t="s">
        <v>3490</v>
      </c>
      <c r="G1806" t="str">
        <f>"00265000"</f>
        <v>00265000</v>
      </c>
      <c r="H1806" t="s">
        <v>3261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70</v>
      </c>
      <c r="O1806">
        <v>0</v>
      </c>
      <c r="P1806">
        <v>30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19</v>
      </c>
      <c r="W1806">
        <v>133</v>
      </c>
      <c r="X1806">
        <v>0</v>
      </c>
      <c r="Z1806">
        <v>0</v>
      </c>
      <c r="AA1806">
        <v>0</v>
      </c>
      <c r="AB1806">
        <v>18</v>
      </c>
      <c r="AC1806">
        <v>306</v>
      </c>
      <c r="AD1806" t="s">
        <v>3491</v>
      </c>
    </row>
    <row r="1807" spans="1:30" x14ac:dyDescent="0.25">
      <c r="H1807">
        <v>1091</v>
      </c>
    </row>
    <row r="1808" spans="1:30" x14ac:dyDescent="0.25">
      <c r="A1808">
        <v>901</v>
      </c>
      <c r="B1808">
        <v>4427</v>
      </c>
      <c r="C1808" t="s">
        <v>3492</v>
      </c>
      <c r="D1808" t="s">
        <v>252</v>
      </c>
      <c r="E1808" t="s">
        <v>59</v>
      </c>
      <c r="F1808" t="s">
        <v>3493</v>
      </c>
      <c r="G1808" t="str">
        <f>"00145259"</f>
        <v>00145259</v>
      </c>
      <c r="H1808" t="s">
        <v>1960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70</v>
      </c>
      <c r="O1808">
        <v>30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60</v>
      </c>
      <c r="W1808">
        <v>420</v>
      </c>
      <c r="X1808">
        <v>0</v>
      </c>
      <c r="Z1808">
        <v>0</v>
      </c>
      <c r="AA1808">
        <v>0</v>
      </c>
      <c r="AB1808">
        <v>0</v>
      </c>
      <c r="AC1808">
        <v>0</v>
      </c>
      <c r="AD1808" t="s">
        <v>3494</v>
      </c>
    </row>
    <row r="1809" spans="1:30" x14ac:dyDescent="0.25">
      <c r="H1809" t="s">
        <v>3495</v>
      </c>
    </row>
    <row r="1810" spans="1:30" x14ac:dyDescent="0.25">
      <c r="A1810">
        <v>902</v>
      </c>
      <c r="B1810">
        <v>4982</v>
      </c>
      <c r="C1810" t="s">
        <v>3496</v>
      </c>
      <c r="D1810" t="s">
        <v>89</v>
      </c>
      <c r="E1810" t="s">
        <v>300</v>
      </c>
      <c r="F1810" t="s">
        <v>3497</v>
      </c>
      <c r="G1810" t="str">
        <f>"00189869"</f>
        <v>00189869</v>
      </c>
      <c r="H1810" t="s">
        <v>92</v>
      </c>
      <c r="I1810">
        <v>0</v>
      </c>
      <c r="J1810">
        <v>0</v>
      </c>
      <c r="K1810">
        <v>0</v>
      </c>
      <c r="L1810">
        <v>200</v>
      </c>
      <c r="M1810">
        <v>0</v>
      </c>
      <c r="N1810">
        <v>30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18</v>
      </c>
      <c r="W1810">
        <v>126</v>
      </c>
      <c r="X1810">
        <v>0</v>
      </c>
      <c r="Z1810">
        <v>1</v>
      </c>
      <c r="AA1810">
        <v>0</v>
      </c>
      <c r="AB1810">
        <v>0</v>
      </c>
      <c r="AC1810">
        <v>0</v>
      </c>
      <c r="AD1810" t="s">
        <v>3498</v>
      </c>
    </row>
    <row r="1811" spans="1:30" x14ac:dyDescent="0.25">
      <c r="H1811" t="s">
        <v>3499</v>
      </c>
    </row>
    <row r="1812" spans="1:30" x14ac:dyDescent="0.25">
      <c r="A1812">
        <v>903</v>
      </c>
      <c r="B1812">
        <v>4295</v>
      </c>
      <c r="C1812" t="s">
        <v>3500</v>
      </c>
      <c r="D1812" t="s">
        <v>103</v>
      </c>
      <c r="E1812" t="s">
        <v>59</v>
      </c>
      <c r="F1812" t="s">
        <v>3501</v>
      </c>
      <c r="G1812" t="str">
        <f>"00349585"</f>
        <v>00349585</v>
      </c>
      <c r="H1812">
        <v>550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30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70</v>
      </c>
      <c r="V1812">
        <v>84</v>
      </c>
      <c r="W1812">
        <v>588</v>
      </c>
      <c r="X1812">
        <v>0</v>
      </c>
      <c r="Z1812">
        <v>0</v>
      </c>
      <c r="AA1812">
        <v>0</v>
      </c>
      <c r="AB1812">
        <v>0</v>
      </c>
      <c r="AC1812">
        <v>0</v>
      </c>
      <c r="AD1812">
        <v>1238</v>
      </c>
    </row>
    <row r="1813" spans="1:30" x14ac:dyDescent="0.25">
      <c r="H1813" t="s">
        <v>2038</v>
      </c>
    </row>
    <row r="1814" spans="1:30" x14ac:dyDescent="0.25">
      <c r="A1814">
        <v>904</v>
      </c>
      <c r="B1814">
        <v>5026</v>
      </c>
      <c r="C1814" t="s">
        <v>3502</v>
      </c>
      <c r="D1814" t="s">
        <v>59</v>
      </c>
      <c r="E1814" t="s">
        <v>3503</v>
      </c>
      <c r="F1814" t="s">
        <v>3504</v>
      </c>
      <c r="G1814" t="str">
        <f>"00218911"</f>
        <v>00218911</v>
      </c>
      <c r="H1814">
        <v>550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70</v>
      </c>
      <c r="O1814">
        <v>0</v>
      </c>
      <c r="P1814">
        <v>30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84</v>
      </c>
      <c r="W1814">
        <v>588</v>
      </c>
      <c r="X1814">
        <v>0</v>
      </c>
      <c r="Z1814">
        <v>0</v>
      </c>
      <c r="AA1814">
        <v>0</v>
      </c>
      <c r="AB1814">
        <v>0</v>
      </c>
      <c r="AC1814">
        <v>0</v>
      </c>
      <c r="AD1814">
        <v>1238</v>
      </c>
    </row>
    <row r="1815" spans="1:30" x14ac:dyDescent="0.25">
      <c r="H1815" t="s">
        <v>3505</v>
      </c>
    </row>
    <row r="1816" spans="1:30" x14ac:dyDescent="0.25">
      <c r="A1816">
        <v>905</v>
      </c>
      <c r="B1816">
        <v>2862</v>
      </c>
      <c r="C1816" t="s">
        <v>3506</v>
      </c>
      <c r="D1816" t="s">
        <v>1502</v>
      </c>
      <c r="E1816" t="s">
        <v>135</v>
      </c>
      <c r="F1816" t="s">
        <v>3507</v>
      </c>
      <c r="G1816" t="str">
        <f>"00351581"</f>
        <v>00351581</v>
      </c>
      <c r="H1816" t="s">
        <v>882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30</v>
      </c>
      <c r="O1816">
        <v>0</v>
      </c>
      <c r="P1816">
        <v>30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46</v>
      </c>
      <c r="W1816">
        <v>322</v>
      </c>
      <c r="X1816">
        <v>0</v>
      </c>
      <c r="Z1816">
        <v>0</v>
      </c>
      <c r="AA1816">
        <v>0</v>
      </c>
      <c r="AB1816">
        <v>0</v>
      </c>
      <c r="AC1816">
        <v>0</v>
      </c>
      <c r="AD1816" t="s">
        <v>3508</v>
      </c>
    </row>
    <row r="1817" spans="1:30" x14ac:dyDescent="0.25">
      <c r="H1817">
        <v>1087</v>
      </c>
    </row>
    <row r="1818" spans="1:30" x14ac:dyDescent="0.25">
      <c r="A1818">
        <v>906</v>
      </c>
      <c r="B1818">
        <v>5192</v>
      </c>
      <c r="C1818" t="s">
        <v>3509</v>
      </c>
      <c r="D1818" t="s">
        <v>142</v>
      </c>
      <c r="E1818" t="s">
        <v>408</v>
      </c>
      <c r="F1818" t="s">
        <v>3510</v>
      </c>
      <c r="G1818" t="str">
        <f>"00369376"</f>
        <v>00369376</v>
      </c>
      <c r="H1818" t="s">
        <v>17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30</v>
      </c>
      <c r="O1818">
        <v>30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57</v>
      </c>
      <c r="W1818">
        <v>399</v>
      </c>
      <c r="X1818">
        <v>0</v>
      </c>
      <c r="Z1818">
        <v>0</v>
      </c>
      <c r="AA1818">
        <v>0</v>
      </c>
      <c r="AB1818">
        <v>0</v>
      </c>
      <c r="AC1818">
        <v>0</v>
      </c>
      <c r="AD1818" t="s">
        <v>3511</v>
      </c>
    </row>
    <row r="1819" spans="1:30" x14ac:dyDescent="0.25">
      <c r="H1819" t="s">
        <v>3512</v>
      </c>
    </row>
    <row r="1820" spans="1:30" x14ac:dyDescent="0.25">
      <c r="A1820">
        <v>907</v>
      </c>
      <c r="B1820">
        <v>1667</v>
      </c>
      <c r="C1820" t="s">
        <v>3513</v>
      </c>
      <c r="D1820" t="s">
        <v>423</v>
      </c>
      <c r="E1820" t="s">
        <v>203</v>
      </c>
      <c r="F1820" t="s">
        <v>3514</v>
      </c>
      <c r="G1820" t="str">
        <f>"00290423"</f>
        <v>00290423</v>
      </c>
      <c r="H1820">
        <v>737</v>
      </c>
      <c r="I1820">
        <v>150</v>
      </c>
      <c r="J1820">
        <v>0</v>
      </c>
      <c r="K1820">
        <v>0</v>
      </c>
      <c r="L1820">
        <v>0</v>
      </c>
      <c r="M1820">
        <v>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45</v>
      </c>
      <c r="W1820">
        <v>315</v>
      </c>
      <c r="X1820">
        <v>0</v>
      </c>
      <c r="Z1820">
        <v>0</v>
      </c>
      <c r="AA1820">
        <v>0</v>
      </c>
      <c r="AB1820">
        <v>0</v>
      </c>
      <c r="AC1820">
        <v>0</v>
      </c>
      <c r="AD1820">
        <v>1232</v>
      </c>
    </row>
    <row r="1821" spans="1:30" x14ac:dyDescent="0.25">
      <c r="H1821" t="s">
        <v>2326</v>
      </c>
    </row>
    <row r="1822" spans="1:30" x14ac:dyDescent="0.25">
      <c r="A1822">
        <v>908</v>
      </c>
      <c r="B1822">
        <v>3593</v>
      </c>
      <c r="C1822" t="s">
        <v>3515</v>
      </c>
      <c r="D1822" t="s">
        <v>2826</v>
      </c>
      <c r="E1822" t="s">
        <v>119</v>
      </c>
      <c r="F1822" t="s">
        <v>3516</v>
      </c>
      <c r="G1822" t="str">
        <f>"00337842"</f>
        <v>00337842</v>
      </c>
      <c r="H1822" t="s">
        <v>3517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84</v>
      </c>
      <c r="W1822">
        <v>588</v>
      </c>
      <c r="X1822">
        <v>0</v>
      </c>
      <c r="Z1822">
        <v>1</v>
      </c>
      <c r="AA1822">
        <v>0</v>
      </c>
      <c r="AB1822">
        <v>0</v>
      </c>
      <c r="AC1822">
        <v>0</v>
      </c>
      <c r="AD1822" t="s">
        <v>3518</v>
      </c>
    </row>
    <row r="1823" spans="1:30" x14ac:dyDescent="0.25">
      <c r="H1823">
        <v>1070</v>
      </c>
    </row>
    <row r="1824" spans="1:30" x14ac:dyDescent="0.25">
      <c r="A1824">
        <v>909</v>
      </c>
      <c r="B1824">
        <v>289</v>
      </c>
      <c r="C1824" t="s">
        <v>3519</v>
      </c>
      <c r="D1824" t="s">
        <v>34</v>
      </c>
      <c r="E1824" t="s">
        <v>42</v>
      </c>
      <c r="F1824" t="s">
        <v>3520</v>
      </c>
      <c r="G1824" t="str">
        <f>"00264838"</f>
        <v>00264838</v>
      </c>
      <c r="H1824" t="s">
        <v>535</v>
      </c>
      <c r="I1824">
        <v>0</v>
      </c>
      <c r="J1824">
        <v>0</v>
      </c>
      <c r="K1824">
        <v>200</v>
      </c>
      <c r="L1824">
        <v>0</v>
      </c>
      <c r="M1824">
        <v>100</v>
      </c>
      <c r="N1824">
        <v>70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0</v>
      </c>
      <c r="W1824">
        <v>0</v>
      </c>
      <c r="X1824">
        <v>0</v>
      </c>
      <c r="Z1824">
        <v>0</v>
      </c>
      <c r="AA1824">
        <v>0</v>
      </c>
      <c r="AB1824">
        <v>0</v>
      </c>
      <c r="AC1824">
        <v>0</v>
      </c>
      <c r="AD1824" t="s">
        <v>3521</v>
      </c>
    </row>
    <row r="1825" spans="1:30" x14ac:dyDescent="0.25">
      <c r="H1825" t="s">
        <v>1124</v>
      </c>
    </row>
    <row r="1826" spans="1:30" x14ac:dyDescent="0.25">
      <c r="A1826">
        <v>910</v>
      </c>
      <c r="B1826">
        <v>1985</v>
      </c>
      <c r="C1826" t="s">
        <v>3522</v>
      </c>
      <c r="D1826" t="s">
        <v>664</v>
      </c>
      <c r="E1826" t="s">
        <v>108</v>
      </c>
      <c r="F1826" t="s">
        <v>3523</v>
      </c>
      <c r="G1826" t="str">
        <f>"00185448"</f>
        <v>00185448</v>
      </c>
      <c r="H1826" t="s">
        <v>757</v>
      </c>
      <c r="I1826">
        <v>0</v>
      </c>
      <c r="J1826">
        <v>0</v>
      </c>
      <c r="K1826">
        <v>0</v>
      </c>
      <c r="L1826">
        <v>200</v>
      </c>
      <c r="M1826">
        <v>0</v>
      </c>
      <c r="N1826">
        <v>30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4</v>
      </c>
      <c r="W1826">
        <v>28</v>
      </c>
      <c r="X1826">
        <v>0</v>
      </c>
      <c r="Z1826">
        <v>1</v>
      </c>
      <c r="AA1826">
        <v>0</v>
      </c>
      <c r="AB1826">
        <v>8</v>
      </c>
      <c r="AC1826">
        <v>136</v>
      </c>
      <c r="AD1826" t="s">
        <v>3524</v>
      </c>
    </row>
    <row r="1827" spans="1:30" x14ac:dyDescent="0.25">
      <c r="H1827" t="s">
        <v>3525</v>
      </c>
    </row>
    <row r="1828" spans="1:30" x14ac:dyDescent="0.25">
      <c r="A1828">
        <v>911</v>
      </c>
      <c r="B1828">
        <v>3009</v>
      </c>
      <c r="C1828" t="s">
        <v>3526</v>
      </c>
      <c r="D1828" t="s">
        <v>42</v>
      </c>
      <c r="E1828" t="s">
        <v>135</v>
      </c>
      <c r="F1828" t="s">
        <v>3527</v>
      </c>
      <c r="G1828" t="str">
        <f>"00293077"</f>
        <v>00293077</v>
      </c>
      <c r="H1828" t="s">
        <v>3050</v>
      </c>
      <c r="I1828">
        <v>0</v>
      </c>
      <c r="J1828">
        <v>0</v>
      </c>
      <c r="K1828">
        <v>0</v>
      </c>
      <c r="L1828">
        <v>200</v>
      </c>
      <c r="M1828">
        <v>0</v>
      </c>
      <c r="N1828">
        <v>30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40</v>
      </c>
      <c r="W1828">
        <v>280</v>
      </c>
      <c r="X1828">
        <v>0</v>
      </c>
      <c r="Z1828">
        <v>0</v>
      </c>
      <c r="AA1828">
        <v>0</v>
      </c>
      <c r="AB1828">
        <v>0</v>
      </c>
      <c r="AC1828">
        <v>0</v>
      </c>
      <c r="AD1828" t="s">
        <v>3528</v>
      </c>
    </row>
    <row r="1829" spans="1:30" x14ac:dyDescent="0.25">
      <c r="H1829" t="s">
        <v>3529</v>
      </c>
    </row>
    <row r="1830" spans="1:30" x14ac:dyDescent="0.25">
      <c r="A1830">
        <v>912</v>
      </c>
      <c r="B1830">
        <v>1161</v>
      </c>
      <c r="C1830" t="s">
        <v>1251</v>
      </c>
      <c r="D1830" t="s">
        <v>978</v>
      </c>
      <c r="E1830" t="s">
        <v>1130</v>
      </c>
      <c r="F1830" t="s">
        <v>3530</v>
      </c>
      <c r="G1830" t="str">
        <f>"00018281"</f>
        <v>00018281</v>
      </c>
      <c r="H1830">
        <v>550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70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84</v>
      </c>
      <c r="W1830">
        <v>588</v>
      </c>
      <c r="X1830">
        <v>0</v>
      </c>
      <c r="Z1830">
        <v>0</v>
      </c>
      <c r="AA1830">
        <v>0</v>
      </c>
      <c r="AB1830">
        <v>0</v>
      </c>
      <c r="AC1830">
        <v>0</v>
      </c>
      <c r="AD1830">
        <v>1208</v>
      </c>
    </row>
    <row r="1831" spans="1:30" x14ac:dyDescent="0.25">
      <c r="H1831" t="s">
        <v>3531</v>
      </c>
    </row>
    <row r="1832" spans="1:30" x14ac:dyDescent="0.25">
      <c r="A1832">
        <v>913</v>
      </c>
      <c r="B1832">
        <v>3220</v>
      </c>
      <c r="C1832" t="s">
        <v>3532</v>
      </c>
      <c r="D1832" t="s">
        <v>780</v>
      </c>
      <c r="E1832" t="s">
        <v>135</v>
      </c>
      <c r="F1832" t="s">
        <v>3533</v>
      </c>
      <c r="G1832" t="str">
        <f>"00353488"</f>
        <v>00353488</v>
      </c>
      <c r="H1832">
        <v>550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70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84</v>
      </c>
      <c r="W1832">
        <v>588</v>
      </c>
      <c r="X1832">
        <v>0</v>
      </c>
      <c r="Z1832">
        <v>0</v>
      </c>
      <c r="AA1832">
        <v>0</v>
      </c>
      <c r="AB1832">
        <v>0</v>
      </c>
      <c r="AC1832">
        <v>0</v>
      </c>
      <c r="AD1832">
        <v>1208</v>
      </c>
    </row>
    <row r="1833" spans="1:30" x14ac:dyDescent="0.25">
      <c r="H1833" t="s">
        <v>3534</v>
      </c>
    </row>
    <row r="1834" spans="1:30" x14ac:dyDescent="0.25">
      <c r="A1834">
        <v>914</v>
      </c>
      <c r="B1834">
        <v>1562</v>
      </c>
      <c r="C1834" t="s">
        <v>1604</v>
      </c>
      <c r="D1834" t="s">
        <v>28</v>
      </c>
      <c r="E1834" t="s">
        <v>3535</v>
      </c>
      <c r="F1834" t="s">
        <v>3536</v>
      </c>
      <c r="G1834" t="str">
        <f>"201412002067"</f>
        <v>201412002067</v>
      </c>
      <c r="H1834" t="s">
        <v>1338</v>
      </c>
      <c r="I1834">
        <v>0</v>
      </c>
      <c r="J1834">
        <v>0</v>
      </c>
      <c r="K1834">
        <v>0</v>
      </c>
      <c r="L1834">
        <v>260</v>
      </c>
      <c r="M1834">
        <v>0</v>
      </c>
      <c r="N1834">
        <v>30</v>
      </c>
      <c r="O1834">
        <v>0</v>
      </c>
      <c r="P1834">
        <v>30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8</v>
      </c>
      <c r="W1834">
        <v>56</v>
      </c>
      <c r="X1834">
        <v>0</v>
      </c>
      <c r="Z1834">
        <v>0</v>
      </c>
      <c r="AA1834">
        <v>0</v>
      </c>
      <c r="AB1834">
        <v>0</v>
      </c>
      <c r="AC1834">
        <v>0</v>
      </c>
      <c r="AD1834" t="s">
        <v>3537</v>
      </c>
    </row>
    <row r="1835" spans="1:30" x14ac:dyDescent="0.25">
      <c r="H1835" t="s">
        <v>3538</v>
      </c>
    </row>
    <row r="1836" spans="1:30" x14ac:dyDescent="0.25">
      <c r="A1836">
        <v>915</v>
      </c>
      <c r="B1836">
        <v>3423</v>
      </c>
      <c r="C1836" t="s">
        <v>1655</v>
      </c>
      <c r="D1836" t="s">
        <v>59</v>
      </c>
      <c r="E1836" t="s">
        <v>42</v>
      </c>
      <c r="F1836" t="s">
        <v>3539</v>
      </c>
      <c r="G1836" t="str">
        <f>"00144259"</f>
        <v>00144259</v>
      </c>
      <c r="H1836" t="s">
        <v>3163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70</v>
      </c>
      <c r="O1836">
        <v>0</v>
      </c>
      <c r="P1836">
        <v>50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56</v>
      </c>
      <c r="W1836">
        <v>392</v>
      </c>
      <c r="X1836">
        <v>0</v>
      </c>
      <c r="Z1836">
        <v>0</v>
      </c>
      <c r="AA1836">
        <v>0</v>
      </c>
      <c r="AB1836">
        <v>0</v>
      </c>
      <c r="AC1836">
        <v>0</v>
      </c>
      <c r="AD1836" t="s">
        <v>3540</v>
      </c>
    </row>
    <row r="1837" spans="1:30" x14ac:dyDescent="0.25">
      <c r="H1837" t="s">
        <v>3541</v>
      </c>
    </row>
    <row r="1838" spans="1:30" x14ac:dyDescent="0.25">
      <c r="A1838">
        <v>916</v>
      </c>
      <c r="B1838">
        <v>5020</v>
      </c>
      <c r="C1838" t="s">
        <v>578</v>
      </c>
      <c r="D1838" t="s">
        <v>3542</v>
      </c>
      <c r="E1838" t="s">
        <v>3543</v>
      </c>
      <c r="F1838" t="s">
        <v>3544</v>
      </c>
      <c r="G1838" t="str">
        <f>"201402012473"</f>
        <v>201402012473</v>
      </c>
      <c r="H1838" t="s">
        <v>239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70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51</v>
      </c>
      <c r="W1838">
        <v>357</v>
      </c>
      <c r="X1838">
        <v>0</v>
      </c>
      <c r="Z1838">
        <v>0</v>
      </c>
      <c r="AA1838">
        <v>0</v>
      </c>
      <c r="AB1838">
        <v>0</v>
      </c>
      <c r="AC1838">
        <v>0</v>
      </c>
      <c r="AD1838" t="s">
        <v>3545</v>
      </c>
    </row>
    <row r="1839" spans="1:30" x14ac:dyDescent="0.25">
      <c r="H1839" t="s">
        <v>3546</v>
      </c>
    </row>
    <row r="1840" spans="1:30" x14ac:dyDescent="0.25">
      <c r="A1840">
        <v>917</v>
      </c>
      <c r="B1840">
        <v>2058</v>
      </c>
      <c r="C1840" t="s">
        <v>1134</v>
      </c>
      <c r="D1840" t="s">
        <v>293</v>
      </c>
      <c r="E1840" t="s">
        <v>148</v>
      </c>
      <c r="F1840" t="s">
        <v>1135</v>
      </c>
      <c r="G1840" t="str">
        <f>"00017695"</f>
        <v>00017695</v>
      </c>
      <c r="H1840" t="s">
        <v>1136</v>
      </c>
      <c r="I1840">
        <v>0</v>
      </c>
      <c r="J1840">
        <v>0</v>
      </c>
      <c r="K1840">
        <v>0</v>
      </c>
      <c r="L1840">
        <v>200</v>
      </c>
      <c r="M1840">
        <v>0</v>
      </c>
      <c r="N1840">
        <v>50</v>
      </c>
      <c r="O1840">
        <v>30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1</v>
      </c>
      <c r="W1840">
        <v>7</v>
      </c>
      <c r="X1840">
        <v>0</v>
      </c>
      <c r="Z1840">
        <v>0</v>
      </c>
      <c r="AA1840">
        <v>0</v>
      </c>
      <c r="AB1840">
        <v>8</v>
      </c>
      <c r="AC1840">
        <v>136</v>
      </c>
      <c r="AD1840" t="s">
        <v>3547</v>
      </c>
    </row>
    <row r="1841" spans="1:30" x14ac:dyDescent="0.25">
      <c r="H1841" t="s">
        <v>1138</v>
      </c>
    </row>
    <row r="1842" spans="1:30" x14ac:dyDescent="0.25">
      <c r="A1842">
        <v>918</v>
      </c>
      <c r="B1842">
        <v>1743</v>
      </c>
      <c r="C1842" t="s">
        <v>3548</v>
      </c>
      <c r="D1842" t="s">
        <v>3549</v>
      </c>
      <c r="E1842" t="s">
        <v>3550</v>
      </c>
      <c r="F1842" t="s">
        <v>3551</v>
      </c>
      <c r="G1842" t="str">
        <f>"00142145"</f>
        <v>00142145</v>
      </c>
      <c r="H1842" t="s">
        <v>215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70</v>
      </c>
      <c r="O1842">
        <v>0</v>
      </c>
      <c r="P1842">
        <v>0</v>
      </c>
      <c r="Q1842">
        <v>30</v>
      </c>
      <c r="R1842">
        <v>30</v>
      </c>
      <c r="S1842">
        <v>0</v>
      </c>
      <c r="T1842">
        <v>0</v>
      </c>
      <c r="U1842">
        <v>0</v>
      </c>
      <c r="V1842">
        <v>36</v>
      </c>
      <c r="W1842">
        <v>252</v>
      </c>
      <c r="X1842">
        <v>0</v>
      </c>
      <c r="Z1842">
        <v>1</v>
      </c>
      <c r="AA1842">
        <v>0</v>
      </c>
      <c r="AB1842">
        <v>0</v>
      </c>
      <c r="AC1842">
        <v>0</v>
      </c>
      <c r="AD1842" t="s">
        <v>3552</v>
      </c>
    </row>
    <row r="1843" spans="1:30" x14ac:dyDescent="0.25">
      <c r="H1843" t="s">
        <v>3553</v>
      </c>
    </row>
    <row r="1844" spans="1:30" x14ac:dyDescent="0.25">
      <c r="A1844">
        <v>919</v>
      </c>
      <c r="B1844">
        <v>1533</v>
      </c>
      <c r="C1844" t="s">
        <v>3554</v>
      </c>
      <c r="D1844" t="s">
        <v>148</v>
      </c>
      <c r="E1844" t="s">
        <v>77</v>
      </c>
      <c r="F1844" t="s">
        <v>3555</v>
      </c>
      <c r="G1844" t="str">
        <f>"201410012571"</f>
        <v>201410012571</v>
      </c>
      <c r="H1844" t="s">
        <v>44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50</v>
      </c>
      <c r="O1844">
        <v>0</v>
      </c>
      <c r="P1844">
        <v>50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31</v>
      </c>
      <c r="W1844">
        <v>217</v>
      </c>
      <c r="X1844">
        <v>0</v>
      </c>
      <c r="Z1844">
        <v>0</v>
      </c>
      <c r="AA1844">
        <v>0</v>
      </c>
      <c r="AB1844">
        <v>0</v>
      </c>
      <c r="AC1844">
        <v>0</v>
      </c>
      <c r="AD1844" t="s">
        <v>3556</v>
      </c>
    </row>
    <row r="1845" spans="1:30" x14ac:dyDescent="0.25">
      <c r="H1845" t="s">
        <v>1042</v>
      </c>
    </row>
    <row r="1846" spans="1:30" x14ac:dyDescent="0.25">
      <c r="A1846">
        <v>920</v>
      </c>
      <c r="B1846">
        <v>4746</v>
      </c>
      <c r="C1846" t="s">
        <v>3557</v>
      </c>
      <c r="D1846" t="s">
        <v>59</v>
      </c>
      <c r="E1846" t="s">
        <v>203</v>
      </c>
      <c r="F1846" t="s">
        <v>3558</v>
      </c>
      <c r="G1846" t="str">
        <f>"00358108"</f>
        <v>00358108</v>
      </c>
      <c r="H1846" t="s">
        <v>61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70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24</v>
      </c>
      <c r="W1846">
        <v>168</v>
      </c>
      <c r="X1846">
        <v>0</v>
      </c>
      <c r="Z1846">
        <v>0</v>
      </c>
      <c r="AA1846">
        <v>0</v>
      </c>
      <c r="AB1846">
        <v>8</v>
      </c>
      <c r="AC1846">
        <v>136</v>
      </c>
      <c r="AD1846" t="s">
        <v>3559</v>
      </c>
    </row>
    <row r="1847" spans="1:30" x14ac:dyDescent="0.25">
      <c r="H1847" t="s">
        <v>3560</v>
      </c>
    </row>
    <row r="1848" spans="1:30" x14ac:dyDescent="0.25">
      <c r="A1848">
        <v>921</v>
      </c>
      <c r="B1848">
        <v>3968</v>
      </c>
      <c r="C1848" t="s">
        <v>3561</v>
      </c>
      <c r="D1848" t="s">
        <v>164</v>
      </c>
      <c r="E1848" t="s">
        <v>300</v>
      </c>
      <c r="F1848" t="s">
        <v>3562</v>
      </c>
      <c r="G1848" t="str">
        <f>"00357574"</f>
        <v>00357574</v>
      </c>
      <c r="H1848" t="s">
        <v>1784</v>
      </c>
      <c r="I1848">
        <v>0</v>
      </c>
      <c r="J1848">
        <v>0</v>
      </c>
      <c r="K1848">
        <v>0</v>
      </c>
      <c r="L1848">
        <v>200</v>
      </c>
      <c r="M1848">
        <v>0</v>
      </c>
      <c r="N1848">
        <v>70</v>
      </c>
      <c r="O1848">
        <v>0</v>
      </c>
      <c r="P1848">
        <v>50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12</v>
      </c>
      <c r="W1848">
        <v>84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3563</v>
      </c>
    </row>
    <row r="1849" spans="1:30" x14ac:dyDescent="0.25">
      <c r="H1849" t="s">
        <v>1192</v>
      </c>
    </row>
    <row r="1850" spans="1:30" x14ac:dyDescent="0.25">
      <c r="A1850">
        <v>922</v>
      </c>
      <c r="B1850">
        <v>1918</v>
      </c>
      <c r="C1850" t="s">
        <v>3564</v>
      </c>
      <c r="D1850" t="s">
        <v>82</v>
      </c>
      <c r="E1850" t="s">
        <v>1280</v>
      </c>
      <c r="F1850" t="s">
        <v>3565</v>
      </c>
      <c r="G1850" t="str">
        <f>"201504004293"</f>
        <v>201504004293</v>
      </c>
      <c r="H1850" t="s">
        <v>677</v>
      </c>
      <c r="I1850">
        <v>0</v>
      </c>
      <c r="J1850">
        <v>0</v>
      </c>
      <c r="K1850">
        <v>0</v>
      </c>
      <c r="L1850">
        <v>0</v>
      </c>
      <c r="M1850">
        <v>100</v>
      </c>
      <c r="N1850">
        <v>70</v>
      </c>
      <c r="O1850">
        <v>50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24</v>
      </c>
      <c r="W1850">
        <v>168</v>
      </c>
      <c r="X1850">
        <v>0</v>
      </c>
      <c r="Z1850">
        <v>0</v>
      </c>
      <c r="AA1850">
        <v>0</v>
      </c>
      <c r="AB1850">
        <v>0</v>
      </c>
      <c r="AC1850">
        <v>0</v>
      </c>
      <c r="AD1850" t="s">
        <v>3566</v>
      </c>
    </row>
    <row r="1851" spans="1:30" x14ac:dyDescent="0.25">
      <c r="H1851" t="s">
        <v>3567</v>
      </c>
    </row>
    <row r="1852" spans="1:30" x14ac:dyDescent="0.25">
      <c r="A1852">
        <v>923</v>
      </c>
      <c r="B1852">
        <v>4753</v>
      </c>
      <c r="C1852" t="s">
        <v>3568</v>
      </c>
      <c r="D1852" t="s">
        <v>3569</v>
      </c>
      <c r="E1852" t="s">
        <v>158</v>
      </c>
      <c r="F1852" t="s">
        <v>3570</v>
      </c>
      <c r="G1852" t="str">
        <f>"00157169"</f>
        <v>00157169</v>
      </c>
      <c r="H1852" t="s">
        <v>2032</v>
      </c>
      <c r="I1852">
        <v>0</v>
      </c>
      <c r="J1852">
        <v>0</v>
      </c>
      <c r="K1852">
        <v>0</v>
      </c>
      <c r="L1852">
        <v>260</v>
      </c>
      <c r="M1852">
        <v>0</v>
      </c>
      <c r="N1852">
        <v>70</v>
      </c>
      <c r="O1852">
        <v>0</v>
      </c>
      <c r="P1852">
        <v>30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12</v>
      </c>
      <c r="W1852">
        <v>84</v>
      </c>
      <c r="X1852">
        <v>0</v>
      </c>
      <c r="Z1852">
        <v>0</v>
      </c>
      <c r="AA1852">
        <v>0</v>
      </c>
      <c r="AB1852">
        <v>0</v>
      </c>
      <c r="AC1852">
        <v>0</v>
      </c>
      <c r="AD1852" t="s">
        <v>3571</v>
      </c>
    </row>
    <row r="1853" spans="1:30" x14ac:dyDescent="0.25">
      <c r="H1853" t="s">
        <v>3572</v>
      </c>
    </row>
    <row r="1854" spans="1:30" x14ac:dyDescent="0.25">
      <c r="A1854">
        <v>924</v>
      </c>
      <c r="B1854">
        <v>1839</v>
      </c>
      <c r="C1854" t="s">
        <v>3573</v>
      </c>
      <c r="D1854" t="s">
        <v>448</v>
      </c>
      <c r="E1854" t="s">
        <v>352</v>
      </c>
      <c r="F1854" t="s">
        <v>3574</v>
      </c>
      <c r="G1854" t="str">
        <f>"201511023659"</f>
        <v>201511023659</v>
      </c>
      <c r="H1854" t="s">
        <v>348</v>
      </c>
      <c r="I1854">
        <v>0</v>
      </c>
      <c r="J1854">
        <v>0</v>
      </c>
      <c r="K1854">
        <v>0</v>
      </c>
      <c r="L1854">
        <v>200</v>
      </c>
      <c r="M1854">
        <v>0</v>
      </c>
      <c r="N1854">
        <v>30</v>
      </c>
      <c r="O1854">
        <v>30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24</v>
      </c>
      <c r="W1854">
        <v>168</v>
      </c>
      <c r="X1854">
        <v>0</v>
      </c>
      <c r="Z1854">
        <v>0</v>
      </c>
      <c r="AA1854">
        <v>0</v>
      </c>
      <c r="AB1854">
        <v>0</v>
      </c>
      <c r="AC1854">
        <v>0</v>
      </c>
      <c r="AD1854" t="s">
        <v>3575</v>
      </c>
    </row>
    <row r="1855" spans="1:30" x14ac:dyDescent="0.25">
      <c r="H1855" t="s">
        <v>3576</v>
      </c>
    </row>
    <row r="1856" spans="1:30" x14ac:dyDescent="0.25">
      <c r="A1856">
        <v>925</v>
      </c>
      <c r="B1856">
        <v>4798</v>
      </c>
      <c r="C1856" t="s">
        <v>3577</v>
      </c>
      <c r="D1856" t="s">
        <v>283</v>
      </c>
      <c r="E1856" t="s">
        <v>550</v>
      </c>
      <c r="F1856" t="s">
        <v>3578</v>
      </c>
      <c r="G1856" t="str">
        <f>"00361228"</f>
        <v>00361228</v>
      </c>
      <c r="H1856" t="s">
        <v>3579</v>
      </c>
      <c r="I1856">
        <v>0</v>
      </c>
      <c r="J1856">
        <v>0</v>
      </c>
      <c r="K1856">
        <v>0</v>
      </c>
      <c r="L1856">
        <v>0</v>
      </c>
      <c r="M1856">
        <v>100</v>
      </c>
      <c r="N1856">
        <v>50</v>
      </c>
      <c r="O1856">
        <v>0</v>
      </c>
      <c r="P1856">
        <v>0</v>
      </c>
      <c r="Q1856">
        <v>30</v>
      </c>
      <c r="R1856">
        <v>0</v>
      </c>
      <c r="S1856">
        <v>0</v>
      </c>
      <c r="T1856">
        <v>0</v>
      </c>
      <c r="U1856">
        <v>0</v>
      </c>
      <c r="V1856">
        <v>7</v>
      </c>
      <c r="W1856">
        <v>49</v>
      </c>
      <c r="X1856">
        <v>0</v>
      </c>
      <c r="Z1856">
        <v>0</v>
      </c>
      <c r="AA1856">
        <v>0</v>
      </c>
      <c r="AB1856">
        <v>0</v>
      </c>
      <c r="AC1856">
        <v>0</v>
      </c>
      <c r="AD1856" t="s">
        <v>3580</v>
      </c>
    </row>
    <row r="1857" spans="1:30" x14ac:dyDescent="0.25">
      <c r="H1857" t="s">
        <v>3581</v>
      </c>
    </row>
    <row r="1858" spans="1:30" x14ac:dyDescent="0.25">
      <c r="A1858">
        <v>926</v>
      </c>
      <c r="B1858">
        <v>4825</v>
      </c>
      <c r="C1858" t="s">
        <v>3582</v>
      </c>
      <c r="D1858" t="s">
        <v>148</v>
      </c>
      <c r="E1858" t="s">
        <v>83</v>
      </c>
      <c r="F1858" t="s">
        <v>3583</v>
      </c>
      <c r="G1858" t="str">
        <f>"00359289"</f>
        <v>00359289</v>
      </c>
      <c r="H1858" t="s">
        <v>1758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30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52</v>
      </c>
      <c r="W1858">
        <v>364</v>
      </c>
      <c r="X1858">
        <v>0</v>
      </c>
      <c r="Z1858">
        <v>0</v>
      </c>
      <c r="AA1858">
        <v>0</v>
      </c>
      <c r="AB1858">
        <v>0</v>
      </c>
      <c r="AC1858">
        <v>0</v>
      </c>
      <c r="AD1858" t="s">
        <v>3580</v>
      </c>
    </row>
    <row r="1859" spans="1:30" x14ac:dyDescent="0.25">
      <c r="H1859" t="s">
        <v>3584</v>
      </c>
    </row>
    <row r="1860" spans="1:30" x14ac:dyDescent="0.25">
      <c r="A1860">
        <v>927</v>
      </c>
      <c r="B1860">
        <v>2624</v>
      </c>
      <c r="C1860" t="s">
        <v>3585</v>
      </c>
      <c r="D1860" t="s">
        <v>142</v>
      </c>
      <c r="E1860" t="s">
        <v>135</v>
      </c>
      <c r="F1860" t="s">
        <v>3586</v>
      </c>
      <c r="G1860" t="str">
        <f>"201504005012"</f>
        <v>201504005012</v>
      </c>
      <c r="H1860" t="s">
        <v>936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70</v>
      </c>
      <c r="O1860">
        <v>30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44</v>
      </c>
      <c r="W1860">
        <v>308</v>
      </c>
      <c r="X1860">
        <v>0</v>
      </c>
      <c r="Z1860">
        <v>0</v>
      </c>
      <c r="AA1860">
        <v>0</v>
      </c>
      <c r="AB1860">
        <v>0</v>
      </c>
      <c r="AC1860">
        <v>0</v>
      </c>
      <c r="AD1860" t="s">
        <v>3587</v>
      </c>
    </row>
    <row r="1861" spans="1:30" x14ac:dyDescent="0.25">
      <c r="H1861" t="s">
        <v>3588</v>
      </c>
    </row>
    <row r="1862" spans="1:30" x14ac:dyDescent="0.25">
      <c r="A1862">
        <v>928</v>
      </c>
      <c r="B1862">
        <v>557</v>
      </c>
      <c r="C1862" t="s">
        <v>3589</v>
      </c>
      <c r="D1862" t="s">
        <v>89</v>
      </c>
      <c r="E1862" t="s">
        <v>435</v>
      </c>
      <c r="F1862" t="s">
        <v>3590</v>
      </c>
      <c r="G1862" t="str">
        <f>"00279736"</f>
        <v>00279736</v>
      </c>
      <c r="H1862" t="s">
        <v>682</v>
      </c>
      <c r="I1862">
        <v>0</v>
      </c>
      <c r="J1862">
        <v>0</v>
      </c>
      <c r="K1862">
        <v>0</v>
      </c>
      <c r="L1862">
        <v>200</v>
      </c>
      <c r="M1862">
        <v>0</v>
      </c>
      <c r="N1862">
        <v>70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W1862">
        <v>0</v>
      </c>
      <c r="X1862">
        <v>0</v>
      </c>
      <c r="Z1862">
        <v>0</v>
      </c>
      <c r="AA1862">
        <v>0</v>
      </c>
      <c r="AB1862">
        <v>0</v>
      </c>
      <c r="AC1862">
        <v>0</v>
      </c>
      <c r="AD1862" t="s">
        <v>3591</v>
      </c>
    </row>
    <row r="1863" spans="1:30" x14ac:dyDescent="0.25">
      <c r="H1863" t="s">
        <v>3592</v>
      </c>
    </row>
    <row r="1864" spans="1:30" x14ac:dyDescent="0.25">
      <c r="A1864">
        <v>929</v>
      </c>
      <c r="B1864">
        <v>3749</v>
      </c>
      <c r="C1864" t="s">
        <v>3593</v>
      </c>
      <c r="D1864" t="s">
        <v>203</v>
      </c>
      <c r="E1864" t="s">
        <v>42</v>
      </c>
      <c r="F1864" t="s">
        <v>3594</v>
      </c>
      <c r="G1864" t="str">
        <f>"201412006209"</f>
        <v>201412006209</v>
      </c>
      <c r="H1864" t="s">
        <v>980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30</v>
      </c>
      <c r="O1864">
        <v>0</v>
      </c>
      <c r="P1864">
        <v>30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40</v>
      </c>
      <c r="W1864">
        <v>280</v>
      </c>
      <c r="X1864">
        <v>0</v>
      </c>
      <c r="Z1864">
        <v>0</v>
      </c>
      <c r="AA1864">
        <v>0</v>
      </c>
      <c r="AB1864">
        <v>0</v>
      </c>
      <c r="AC1864">
        <v>0</v>
      </c>
      <c r="AD1864" t="s">
        <v>3595</v>
      </c>
    </row>
    <row r="1865" spans="1:30" x14ac:dyDescent="0.25">
      <c r="H1865" t="s">
        <v>3596</v>
      </c>
    </row>
    <row r="1866" spans="1:30" x14ac:dyDescent="0.25">
      <c r="A1866">
        <v>930</v>
      </c>
      <c r="B1866">
        <v>152</v>
      </c>
      <c r="C1866" t="s">
        <v>3597</v>
      </c>
      <c r="D1866" t="s">
        <v>3598</v>
      </c>
      <c r="E1866" t="s">
        <v>35</v>
      </c>
      <c r="F1866" t="s">
        <v>3599</v>
      </c>
      <c r="G1866" t="str">
        <f>"00258046"</f>
        <v>00258046</v>
      </c>
      <c r="H1866" t="s">
        <v>414</v>
      </c>
      <c r="I1866">
        <v>0</v>
      </c>
      <c r="J1866">
        <v>0</v>
      </c>
      <c r="K1866">
        <v>0</v>
      </c>
      <c r="L1866">
        <v>200</v>
      </c>
      <c r="M1866">
        <v>0</v>
      </c>
      <c r="N1866">
        <v>70</v>
      </c>
      <c r="O1866">
        <v>30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12</v>
      </c>
      <c r="W1866">
        <v>84</v>
      </c>
      <c r="X1866">
        <v>0</v>
      </c>
      <c r="Z1866">
        <v>0</v>
      </c>
      <c r="AA1866">
        <v>0</v>
      </c>
      <c r="AB1866">
        <v>0</v>
      </c>
      <c r="AC1866">
        <v>0</v>
      </c>
      <c r="AD1866" t="s">
        <v>3595</v>
      </c>
    </row>
    <row r="1867" spans="1:30" x14ac:dyDescent="0.25">
      <c r="H1867" t="s">
        <v>3600</v>
      </c>
    </row>
    <row r="1868" spans="1:30" x14ac:dyDescent="0.25">
      <c r="A1868">
        <v>931</v>
      </c>
      <c r="B1868">
        <v>647</v>
      </c>
      <c r="C1868" t="s">
        <v>3601</v>
      </c>
      <c r="D1868" t="s">
        <v>2259</v>
      </c>
      <c r="E1868" t="s">
        <v>135</v>
      </c>
      <c r="F1868" t="s">
        <v>3602</v>
      </c>
      <c r="G1868" t="str">
        <f>"00168497"</f>
        <v>00168497</v>
      </c>
      <c r="H1868" t="s">
        <v>1675</v>
      </c>
      <c r="I1868">
        <v>0</v>
      </c>
      <c r="J1868">
        <v>0</v>
      </c>
      <c r="K1868">
        <v>0</v>
      </c>
      <c r="L1868">
        <v>200</v>
      </c>
      <c r="M1868">
        <v>0</v>
      </c>
      <c r="N1868">
        <v>70</v>
      </c>
      <c r="O1868">
        <v>50</v>
      </c>
      <c r="P1868">
        <v>30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8</v>
      </c>
      <c r="W1868">
        <v>56</v>
      </c>
      <c r="X1868">
        <v>0</v>
      </c>
      <c r="Z1868">
        <v>0</v>
      </c>
      <c r="AA1868">
        <v>0</v>
      </c>
      <c r="AB1868">
        <v>0</v>
      </c>
      <c r="AC1868">
        <v>0</v>
      </c>
      <c r="AD1868" t="s">
        <v>3595</v>
      </c>
    </row>
    <row r="1869" spans="1:30" x14ac:dyDescent="0.25">
      <c r="H1869" t="s">
        <v>3603</v>
      </c>
    </row>
    <row r="1870" spans="1:30" x14ac:dyDescent="0.25">
      <c r="A1870">
        <v>932</v>
      </c>
      <c r="B1870">
        <v>5101</v>
      </c>
      <c r="C1870" t="s">
        <v>3604</v>
      </c>
      <c r="D1870" t="s">
        <v>48</v>
      </c>
      <c r="E1870" t="s">
        <v>59</v>
      </c>
      <c r="F1870" t="s">
        <v>3605</v>
      </c>
      <c r="G1870" t="str">
        <f>"201512001226"</f>
        <v>201512001226</v>
      </c>
      <c r="H1870" t="s">
        <v>3606</v>
      </c>
      <c r="I1870">
        <v>0</v>
      </c>
      <c r="J1870">
        <v>0</v>
      </c>
      <c r="K1870">
        <v>0</v>
      </c>
      <c r="L1870">
        <v>0</v>
      </c>
      <c r="M1870">
        <v>100</v>
      </c>
      <c r="N1870">
        <v>70</v>
      </c>
      <c r="O1870">
        <v>0</v>
      </c>
      <c r="P1870">
        <v>50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0</v>
      </c>
      <c r="W1870">
        <v>0</v>
      </c>
      <c r="X1870">
        <v>0</v>
      </c>
      <c r="Z1870">
        <v>0</v>
      </c>
      <c r="AA1870">
        <v>0</v>
      </c>
      <c r="AB1870">
        <v>0</v>
      </c>
      <c r="AC1870">
        <v>0</v>
      </c>
      <c r="AD1870" t="s">
        <v>3607</v>
      </c>
    </row>
    <row r="1871" spans="1:30" x14ac:dyDescent="0.25">
      <c r="H1871" t="s">
        <v>3608</v>
      </c>
    </row>
    <row r="1872" spans="1:30" x14ac:dyDescent="0.25">
      <c r="A1872">
        <v>933</v>
      </c>
      <c r="B1872">
        <v>497</v>
      </c>
      <c r="C1872" t="s">
        <v>66</v>
      </c>
      <c r="D1872" t="s">
        <v>3609</v>
      </c>
      <c r="E1872" t="s">
        <v>28</v>
      </c>
      <c r="F1872" t="s">
        <v>3610</v>
      </c>
      <c r="G1872" t="str">
        <f>"201504000296"</f>
        <v>201504000296</v>
      </c>
      <c r="H1872" t="s">
        <v>3611</v>
      </c>
      <c r="I1872">
        <v>0</v>
      </c>
      <c r="J1872">
        <v>0</v>
      </c>
      <c r="K1872">
        <v>0</v>
      </c>
      <c r="L1872">
        <v>200</v>
      </c>
      <c r="M1872">
        <v>30</v>
      </c>
      <c r="N1872">
        <v>70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5</v>
      </c>
      <c r="W1872">
        <v>35</v>
      </c>
      <c r="X1872">
        <v>0</v>
      </c>
      <c r="Z1872">
        <v>0</v>
      </c>
      <c r="AA1872">
        <v>0</v>
      </c>
      <c r="AB1872">
        <v>0</v>
      </c>
      <c r="AC1872">
        <v>0</v>
      </c>
      <c r="AD1872" t="s">
        <v>3612</v>
      </c>
    </row>
    <row r="1873" spans="1:30" x14ac:dyDescent="0.25">
      <c r="H1873" t="s">
        <v>3613</v>
      </c>
    </row>
    <row r="1874" spans="1:30" x14ac:dyDescent="0.25">
      <c r="A1874">
        <v>934</v>
      </c>
      <c r="B1874">
        <v>2789</v>
      </c>
      <c r="C1874" t="s">
        <v>3614</v>
      </c>
      <c r="D1874" t="s">
        <v>65</v>
      </c>
      <c r="E1874" t="s">
        <v>28</v>
      </c>
      <c r="F1874" t="s">
        <v>3615</v>
      </c>
      <c r="G1874" t="str">
        <f>"00366211"</f>
        <v>00366211</v>
      </c>
      <c r="H1874" t="s">
        <v>160</v>
      </c>
      <c r="I1874">
        <v>0</v>
      </c>
      <c r="J1874">
        <v>0</v>
      </c>
      <c r="K1874">
        <v>0</v>
      </c>
      <c r="L1874">
        <v>200</v>
      </c>
      <c r="M1874">
        <v>0</v>
      </c>
      <c r="N1874">
        <v>50</v>
      </c>
      <c r="O1874">
        <v>0</v>
      </c>
      <c r="P1874">
        <v>50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6</v>
      </c>
      <c r="W1874">
        <v>42</v>
      </c>
      <c r="X1874">
        <v>0</v>
      </c>
      <c r="Z1874">
        <v>0</v>
      </c>
      <c r="AA1874">
        <v>0</v>
      </c>
      <c r="AB1874">
        <v>0</v>
      </c>
      <c r="AC1874">
        <v>0</v>
      </c>
      <c r="AD1874" t="s">
        <v>3616</v>
      </c>
    </row>
    <row r="1875" spans="1:30" x14ac:dyDescent="0.25">
      <c r="H1875" t="s">
        <v>3617</v>
      </c>
    </row>
    <row r="1876" spans="1:30" x14ac:dyDescent="0.25">
      <c r="A1876">
        <v>935</v>
      </c>
      <c r="B1876">
        <v>734</v>
      </c>
      <c r="C1876" t="s">
        <v>3618</v>
      </c>
      <c r="D1876" t="s">
        <v>1640</v>
      </c>
      <c r="E1876" t="s">
        <v>59</v>
      </c>
      <c r="F1876" t="s">
        <v>3619</v>
      </c>
      <c r="G1876" t="str">
        <f>"00251637"</f>
        <v>00251637</v>
      </c>
      <c r="H1876">
        <v>770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70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46</v>
      </c>
      <c r="W1876">
        <v>322</v>
      </c>
      <c r="X1876">
        <v>0</v>
      </c>
      <c r="Z1876">
        <v>0</v>
      </c>
      <c r="AA1876">
        <v>0</v>
      </c>
      <c r="AB1876">
        <v>0</v>
      </c>
      <c r="AC1876">
        <v>0</v>
      </c>
      <c r="AD1876">
        <v>1162</v>
      </c>
    </row>
    <row r="1877" spans="1:30" x14ac:dyDescent="0.25">
      <c r="H1877" t="s">
        <v>3620</v>
      </c>
    </row>
    <row r="1878" spans="1:30" x14ac:dyDescent="0.25">
      <c r="A1878">
        <v>936</v>
      </c>
      <c r="B1878">
        <v>2298</v>
      </c>
      <c r="C1878" t="s">
        <v>3621</v>
      </c>
      <c r="D1878" t="s">
        <v>562</v>
      </c>
      <c r="E1878" t="s">
        <v>77</v>
      </c>
      <c r="F1878" t="s">
        <v>3622</v>
      </c>
      <c r="G1878" t="str">
        <f>"201511033680"</f>
        <v>201511033680</v>
      </c>
      <c r="H1878" t="s">
        <v>3623</v>
      </c>
      <c r="I1878">
        <v>0</v>
      </c>
      <c r="J1878">
        <v>0</v>
      </c>
      <c r="K1878">
        <v>0</v>
      </c>
      <c r="L1878">
        <v>200</v>
      </c>
      <c r="M1878">
        <v>0</v>
      </c>
      <c r="N1878">
        <v>70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0</v>
      </c>
      <c r="X1878">
        <v>0</v>
      </c>
      <c r="Z1878">
        <v>0</v>
      </c>
      <c r="AA1878">
        <v>0</v>
      </c>
      <c r="AB1878">
        <v>0</v>
      </c>
      <c r="AC1878">
        <v>0</v>
      </c>
      <c r="AD1878" t="s">
        <v>3624</v>
      </c>
    </row>
    <row r="1879" spans="1:30" x14ac:dyDescent="0.25">
      <c r="H1879" t="s">
        <v>3625</v>
      </c>
    </row>
    <row r="1880" spans="1:30" x14ac:dyDescent="0.25">
      <c r="A1880">
        <v>937</v>
      </c>
      <c r="B1880">
        <v>3506</v>
      </c>
      <c r="C1880" t="s">
        <v>3626</v>
      </c>
      <c r="D1880" t="s">
        <v>780</v>
      </c>
      <c r="E1880" t="s">
        <v>135</v>
      </c>
      <c r="F1880" t="s">
        <v>3627</v>
      </c>
      <c r="G1880" t="str">
        <f>"201511032220"</f>
        <v>201511032220</v>
      </c>
      <c r="H1880" t="s">
        <v>184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30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47</v>
      </c>
      <c r="W1880">
        <v>329</v>
      </c>
      <c r="X1880">
        <v>0</v>
      </c>
      <c r="Z1880">
        <v>0</v>
      </c>
      <c r="AA1880">
        <v>0</v>
      </c>
      <c r="AB1880">
        <v>0</v>
      </c>
      <c r="AC1880">
        <v>0</v>
      </c>
      <c r="AD1880" t="s">
        <v>3628</v>
      </c>
    </row>
    <row r="1881" spans="1:30" x14ac:dyDescent="0.25">
      <c r="H1881" t="s">
        <v>2347</v>
      </c>
    </row>
    <row r="1882" spans="1:30" x14ac:dyDescent="0.25">
      <c r="A1882">
        <v>938</v>
      </c>
      <c r="B1882">
        <v>3784</v>
      </c>
      <c r="C1882" t="s">
        <v>3629</v>
      </c>
      <c r="D1882" t="s">
        <v>3630</v>
      </c>
      <c r="E1882" t="s">
        <v>135</v>
      </c>
      <c r="F1882" t="s">
        <v>3631</v>
      </c>
      <c r="G1882" t="str">
        <f>"00212918"</f>
        <v>00212918</v>
      </c>
      <c r="H1882" t="s">
        <v>757</v>
      </c>
      <c r="I1882">
        <v>0</v>
      </c>
      <c r="J1882">
        <v>0</v>
      </c>
      <c r="K1882">
        <v>0</v>
      </c>
      <c r="L1882">
        <v>200</v>
      </c>
      <c r="M1882">
        <v>0</v>
      </c>
      <c r="N1882">
        <v>70</v>
      </c>
      <c r="O1882">
        <v>50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0</v>
      </c>
      <c r="X1882">
        <v>0</v>
      </c>
      <c r="Z1882">
        <v>0</v>
      </c>
      <c r="AA1882">
        <v>0</v>
      </c>
      <c r="AB1882">
        <v>0</v>
      </c>
      <c r="AC1882">
        <v>0</v>
      </c>
      <c r="AD1882" t="s">
        <v>3632</v>
      </c>
    </row>
    <row r="1883" spans="1:30" x14ac:dyDescent="0.25">
      <c r="H1883" t="s">
        <v>3633</v>
      </c>
    </row>
    <row r="1884" spans="1:30" x14ac:dyDescent="0.25">
      <c r="A1884">
        <v>939</v>
      </c>
      <c r="B1884">
        <v>1537</v>
      </c>
      <c r="C1884" t="s">
        <v>3634</v>
      </c>
      <c r="D1884" t="s">
        <v>3635</v>
      </c>
      <c r="E1884" t="s">
        <v>42</v>
      </c>
      <c r="F1884" t="s">
        <v>3636</v>
      </c>
      <c r="G1884" t="str">
        <f>"201412001899"</f>
        <v>201412001899</v>
      </c>
      <c r="H1884" t="s">
        <v>61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70</v>
      </c>
      <c r="O1884">
        <v>0</v>
      </c>
      <c r="P1884">
        <v>30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33</v>
      </c>
      <c r="W1884">
        <v>231</v>
      </c>
      <c r="X1884">
        <v>0</v>
      </c>
      <c r="Z1884">
        <v>0</v>
      </c>
      <c r="AA1884">
        <v>0</v>
      </c>
      <c r="AB1884">
        <v>0</v>
      </c>
      <c r="AC1884">
        <v>0</v>
      </c>
      <c r="AD1884" t="s">
        <v>3637</v>
      </c>
    </row>
    <row r="1885" spans="1:30" x14ac:dyDescent="0.25">
      <c r="H1885" t="s">
        <v>3638</v>
      </c>
    </row>
    <row r="1886" spans="1:30" x14ac:dyDescent="0.25">
      <c r="A1886">
        <v>940</v>
      </c>
      <c r="B1886">
        <v>2684</v>
      </c>
      <c r="C1886" t="s">
        <v>3639</v>
      </c>
      <c r="D1886" t="s">
        <v>89</v>
      </c>
      <c r="E1886" t="s">
        <v>83</v>
      </c>
      <c r="F1886" t="s">
        <v>3640</v>
      </c>
      <c r="G1886" t="str">
        <f>"00139833"</f>
        <v>00139833</v>
      </c>
      <c r="H1886" t="s">
        <v>3261</v>
      </c>
      <c r="I1886">
        <v>0</v>
      </c>
      <c r="J1886">
        <v>0</v>
      </c>
      <c r="K1886">
        <v>0</v>
      </c>
      <c r="L1886">
        <v>200</v>
      </c>
      <c r="M1886">
        <v>0</v>
      </c>
      <c r="N1886">
        <v>30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11</v>
      </c>
      <c r="W1886">
        <v>77</v>
      </c>
      <c r="X1886">
        <v>0</v>
      </c>
      <c r="Z1886">
        <v>0</v>
      </c>
      <c r="AA1886">
        <v>0</v>
      </c>
      <c r="AB1886">
        <v>8</v>
      </c>
      <c r="AC1886">
        <v>136</v>
      </c>
      <c r="AD1886" t="s">
        <v>3641</v>
      </c>
    </row>
    <row r="1887" spans="1:30" x14ac:dyDescent="0.25">
      <c r="H1887">
        <v>1079</v>
      </c>
    </row>
    <row r="1888" spans="1:30" x14ac:dyDescent="0.25">
      <c r="A1888">
        <v>941</v>
      </c>
      <c r="B1888">
        <v>4510</v>
      </c>
      <c r="C1888" t="s">
        <v>2939</v>
      </c>
      <c r="D1888" t="s">
        <v>28</v>
      </c>
      <c r="E1888" t="s">
        <v>135</v>
      </c>
      <c r="F1888" t="s">
        <v>2940</v>
      </c>
      <c r="G1888" t="str">
        <f>"201409006605"</f>
        <v>201409006605</v>
      </c>
      <c r="H1888" t="s">
        <v>822</v>
      </c>
      <c r="I1888">
        <v>150</v>
      </c>
      <c r="J1888">
        <v>0</v>
      </c>
      <c r="K1888">
        <v>0</v>
      </c>
      <c r="L1888">
        <v>0</v>
      </c>
      <c r="M1888">
        <v>0</v>
      </c>
      <c r="N1888">
        <v>70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24</v>
      </c>
      <c r="W1888">
        <v>168</v>
      </c>
      <c r="X1888">
        <v>0</v>
      </c>
      <c r="Z1888">
        <v>0</v>
      </c>
      <c r="AA1888">
        <v>0</v>
      </c>
      <c r="AB1888">
        <v>0</v>
      </c>
      <c r="AC1888">
        <v>0</v>
      </c>
      <c r="AD1888" t="s">
        <v>3642</v>
      </c>
    </row>
    <row r="1889" spans="1:30" x14ac:dyDescent="0.25">
      <c r="H1889" t="s">
        <v>2942</v>
      </c>
    </row>
    <row r="1890" spans="1:30" x14ac:dyDescent="0.25">
      <c r="A1890">
        <v>942</v>
      </c>
      <c r="B1890">
        <v>4131</v>
      </c>
      <c r="C1890" t="s">
        <v>1950</v>
      </c>
      <c r="D1890" t="s">
        <v>2972</v>
      </c>
      <c r="E1890" t="s">
        <v>28</v>
      </c>
      <c r="F1890" t="s">
        <v>2973</v>
      </c>
      <c r="G1890" t="str">
        <f>"00361254"</f>
        <v>00361254</v>
      </c>
      <c r="H1890" t="s">
        <v>329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70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43</v>
      </c>
      <c r="W1890">
        <v>301</v>
      </c>
      <c r="X1890">
        <v>0</v>
      </c>
      <c r="Z1890">
        <v>0</v>
      </c>
      <c r="AA1890">
        <v>0</v>
      </c>
      <c r="AB1890">
        <v>0</v>
      </c>
      <c r="AC1890">
        <v>0</v>
      </c>
      <c r="AD1890" t="s">
        <v>3643</v>
      </c>
    </row>
    <row r="1891" spans="1:30" x14ac:dyDescent="0.25">
      <c r="H1891" t="s">
        <v>2975</v>
      </c>
    </row>
    <row r="1892" spans="1:30" x14ac:dyDescent="0.25">
      <c r="A1892">
        <v>943</v>
      </c>
      <c r="B1892">
        <v>4982</v>
      </c>
      <c r="C1892" t="s">
        <v>3496</v>
      </c>
      <c r="D1892" t="s">
        <v>89</v>
      </c>
      <c r="E1892" t="s">
        <v>300</v>
      </c>
      <c r="F1892" t="s">
        <v>3497</v>
      </c>
      <c r="G1892" t="str">
        <f>"00189869"</f>
        <v>00189869</v>
      </c>
      <c r="H1892" t="s">
        <v>92</v>
      </c>
      <c r="I1892">
        <v>0</v>
      </c>
      <c r="J1892">
        <v>0</v>
      </c>
      <c r="K1892">
        <v>0</v>
      </c>
      <c r="L1892">
        <v>0</v>
      </c>
      <c r="M1892">
        <v>100</v>
      </c>
      <c r="N1892">
        <v>30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18</v>
      </c>
      <c r="W1892">
        <v>126</v>
      </c>
      <c r="X1892">
        <v>0</v>
      </c>
      <c r="Z1892">
        <v>1</v>
      </c>
      <c r="AA1892">
        <v>0</v>
      </c>
      <c r="AB1892">
        <v>0</v>
      </c>
      <c r="AC1892">
        <v>0</v>
      </c>
      <c r="AD1892" t="s">
        <v>3644</v>
      </c>
    </row>
    <row r="1893" spans="1:30" x14ac:dyDescent="0.25">
      <c r="H1893" t="s">
        <v>3499</v>
      </c>
    </row>
    <row r="1894" spans="1:30" x14ac:dyDescent="0.25">
      <c r="A1894">
        <v>944</v>
      </c>
      <c r="B1894">
        <v>3945</v>
      </c>
      <c r="C1894" t="s">
        <v>3645</v>
      </c>
      <c r="D1894" t="s">
        <v>3646</v>
      </c>
      <c r="E1894" t="s">
        <v>2205</v>
      </c>
      <c r="F1894" t="s">
        <v>3647</v>
      </c>
      <c r="G1894" t="str">
        <f>"00359706"</f>
        <v>00359706</v>
      </c>
      <c r="H1894" t="s">
        <v>1022</v>
      </c>
      <c r="I1894">
        <v>0</v>
      </c>
      <c r="J1894">
        <v>0</v>
      </c>
      <c r="K1894">
        <v>0</v>
      </c>
      <c r="L1894">
        <v>200</v>
      </c>
      <c r="M1894">
        <v>0</v>
      </c>
      <c r="N1894">
        <v>70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0</v>
      </c>
      <c r="W1894">
        <v>0</v>
      </c>
      <c r="X1894">
        <v>0</v>
      </c>
      <c r="Z1894">
        <v>1</v>
      </c>
      <c r="AA1894">
        <v>0</v>
      </c>
      <c r="AB1894">
        <v>0</v>
      </c>
      <c r="AC1894">
        <v>0</v>
      </c>
      <c r="AD1894" t="s">
        <v>3648</v>
      </c>
    </row>
    <row r="1895" spans="1:30" x14ac:dyDescent="0.25">
      <c r="H1895" t="s">
        <v>3649</v>
      </c>
    </row>
    <row r="1896" spans="1:30" x14ac:dyDescent="0.25">
      <c r="A1896">
        <v>945</v>
      </c>
      <c r="B1896">
        <v>3541</v>
      </c>
      <c r="C1896" t="s">
        <v>3650</v>
      </c>
      <c r="D1896" t="s">
        <v>28</v>
      </c>
      <c r="E1896" t="s">
        <v>135</v>
      </c>
      <c r="F1896" t="s">
        <v>3651</v>
      </c>
      <c r="G1896" t="str">
        <f>"00212295"</f>
        <v>00212295</v>
      </c>
      <c r="H1896" t="s">
        <v>425</v>
      </c>
      <c r="I1896">
        <v>0</v>
      </c>
      <c r="J1896">
        <v>0</v>
      </c>
      <c r="K1896">
        <v>0</v>
      </c>
      <c r="L1896">
        <v>0</v>
      </c>
      <c r="M1896">
        <v>100</v>
      </c>
      <c r="N1896">
        <v>30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28</v>
      </c>
      <c r="W1896">
        <v>196</v>
      </c>
      <c r="X1896">
        <v>0</v>
      </c>
      <c r="Z1896">
        <v>0</v>
      </c>
      <c r="AA1896">
        <v>0</v>
      </c>
      <c r="AB1896">
        <v>0</v>
      </c>
      <c r="AC1896">
        <v>0</v>
      </c>
      <c r="AD1896" t="s">
        <v>3652</v>
      </c>
    </row>
    <row r="1897" spans="1:30" x14ac:dyDescent="0.25">
      <c r="H1897" t="s">
        <v>3653</v>
      </c>
    </row>
    <row r="1898" spans="1:30" x14ac:dyDescent="0.25">
      <c r="A1898">
        <v>946</v>
      </c>
      <c r="B1898">
        <v>2727</v>
      </c>
      <c r="C1898" t="s">
        <v>3654</v>
      </c>
      <c r="D1898" t="s">
        <v>300</v>
      </c>
      <c r="E1898" t="s">
        <v>1280</v>
      </c>
      <c r="F1898" t="s">
        <v>3655</v>
      </c>
      <c r="G1898" t="str">
        <f>"201411000547"</f>
        <v>201411000547</v>
      </c>
      <c r="H1898" t="s">
        <v>2052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70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47</v>
      </c>
      <c r="W1898">
        <v>329</v>
      </c>
      <c r="X1898">
        <v>0</v>
      </c>
      <c r="Z1898">
        <v>0</v>
      </c>
      <c r="AA1898">
        <v>0</v>
      </c>
      <c r="AB1898">
        <v>0</v>
      </c>
      <c r="AC1898">
        <v>0</v>
      </c>
      <c r="AD1898" t="s">
        <v>3656</v>
      </c>
    </row>
    <row r="1899" spans="1:30" x14ac:dyDescent="0.25">
      <c r="H1899" t="s">
        <v>3657</v>
      </c>
    </row>
    <row r="1900" spans="1:30" x14ac:dyDescent="0.25">
      <c r="A1900">
        <v>947</v>
      </c>
      <c r="B1900">
        <v>4834</v>
      </c>
      <c r="C1900" t="s">
        <v>3658</v>
      </c>
      <c r="D1900" t="s">
        <v>108</v>
      </c>
      <c r="E1900" t="s">
        <v>197</v>
      </c>
      <c r="F1900" t="s">
        <v>3659</v>
      </c>
      <c r="G1900" t="str">
        <f>"00308472"</f>
        <v>00308472</v>
      </c>
      <c r="H1900" t="s">
        <v>85</v>
      </c>
      <c r="I1900">
        <v>0</v>
      </c>
      <c r="J1900">
        <v>0</v>
      </c>
      <c r="K1900">
        <v>0</v>
      </c>
      <c r="L1900">
        <v>200</v>
      </c>
      <c r="M1900">
        <v>0</v>
      </c>
      <c r="N1900">
        <v>50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0</v>
      </c>
      <c r="X1900">
        <v>0</v>
      </c>
      <c r="Z1900">
        <v>0</v>
      </c>
      <c r="AA1900">
        <v>0</v>
      </c>
      <c r="AB1900">
        <v>0</v>
      </c>
      <c r="AC1900">
        <v>0</v>
      </c>
      <c r="AD1900" t="s">
        <v>3660</v>
      </c>
    </row>
    <row r="1901" spans="1:30" x14ac:dyDescent="0.25">
      <c r="H1901" t="s">
        <v>3661</v>
      </c>
    </row>
    <row r="1902" spans="1:30" x14ac:dyDescent="0.25">
      <c r="A1902">
        <v>948</v>
      </c>
      <c r="B1902">
        <v>497</v>
      </c>
      <c r="C1902" t="s">
        <v>66</v>
      </c>
      <c r="D1902" t="s">
        <v>3609</v>
      </c>
      <c r="E1902" t="s">
        <v>28</v>
      </c>
      <c r="F1902" t="s">
        <v>3610</v>
      </c>
      <c r="G1902" t="str">
        <f>"201504000296"</f>
        <v>201504000296</v>
      </c>
      <c r="H1902" t="s">
        <v>3611</v>
      </c>
      <c r="I1902">
        <v>0</v>
      </c>
      <c r="J1902">
        <v>0</v>
      </c>
      <c r="K1902">
        <v>0</v>
      </c>
      <c r="L1902">
        <v>200</v>
      </c>
      <c r="M1902">
        <v>30</v>
      </c>
      <c r="N1902">
        <v>70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X1902">
        <v>0</v>
      </c>
      <c r="Z1902">
        <v>0</v>
      </c>
      <c r="AA1902">
        <v>0</v>
      </c>
      <c r="AB1902">
        <v>0</v>
      </c>
      <c r="AC1902">
        <v>0</v>
      </c>
      <c r="AD1902" t="s">
        <v>3662</v>
      </c>
    </row>
    <row r="1903" spans="1:30" x14ac:dyDescent="0.25">
      <c r="H1903" t="s">
        <v>3613</v>
      </c>
    </row>
    <row r="1904" spans="1:30" x14ac:dyDescent="0.25">
      <c r="A1904">
        <v>949</v>
      </c>
      <c r="B1904">
        <v>4821</v>
      </c>
      <c r="C1904" t="s">
        <v>3663</v>
      </c>
      <c r="D1904" t="s">
        <v>28</v>
      </c>
      <c r="E1904" t="s">
        <v>135</v>
      </c>
      <c r="F1904" t="s">
        <v>3664</v>
      </c>
      <c r="G1904" t="str">
        <f>"00248509"</f>
        <v>00248509</v>
      </c>
      <c r="H1904" t="s">
        <v>1247</v>
      </c>
      <c r="I1904">
        <v>0</v>
      </c>
      <c r="J1904">
        <v>0</v>
      </c>
      <c r="K1904">
        <v>0</v>
      </c>
      <c r="L1904">
        <v>200</v>
      </c>
      <c r="M1904">
        <v>0</v>
      </c>
      <c r="N1904">
        <v>50</v>
      </c>
      <c r="O1904">
        <v>30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0</v>
      </c>
      <c r="X1904">
        <v>0</v>
      </c>
      <c r="Z1904">
        <v>0</v>
      </c>
      <c r="AA1904">
        <v>0</v>
      </c>
      <c r="AB1904">
        <v>0</v>
      </c>
      <c r="AC1904">
        <v>0</v>
      </c>
      <c r="AD1904" t="s">
        <v>3665</v>
      </c>
    </row>
    <row r="1905" spans="1:30" x14ac:dyDescent="0.25">
      <c r="H1905" t="s">
        <v>3666</v>
      </c>
    </row>
    <row r="1906" spans="1:30" x14ac:dyDescent="0.25">
      <c r="A1906">
        <v>950</v>
      </c>
      <c r="B1906">
        <v>3508</v>
      </c>
      <c r="C1906" t="s">
        <v>3667</v>
      </c>
      <c r="D1906" t="s">
        <v>148</v>
      </c>
      <c r="E1906" t="s">
        <v>272</v>
      </c>
      <c r="F1906" t="s">
        <v>3668</v>
      </c>
      <c r="G1906" t="str">
        <f>"00040802"</f>
        <v>00040802</v>
      </c>
      <c r="H1906" t="s">
        <v>2373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30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58</v>
      </c>
      <c r="W1906">
        <v>406</v>
      </c>
      <c r="X1906">
        <v>0</v>
      </c>
      <c r="Z1906">
        <v>0</v>
      </c>
      <c r="AA1906">
        <v>0</v>
      </c>
      <c r="AB1906">
        <v>0</v>
      </c>
      <c r="AC1906">
        <v>0</v>
      </c>
      <c r="AD1906" t="s">
        <v>3669</v>
      </c>
    </row>
    <row r="1907" spans="1:30" x14ac:dyDescent="0.25">
      <c r="H1907" t="s">
        <v>3670</v>
      </c>
    </row>
    <row r="1908" spans="1:30" x14ac:dyDescent="0.25">
      <c r="A1908">
        <v>951</v>
      </c>
      <c r="B1908">
        <v>1470</v>
      </c>
      <c r="C1908" t="s">
        <v>3671</v>
      </c>
      <c r="D1908" t="s">
        <v>435</v>
      </c>
      <c r="E1908" t="s">
        <v>15</v>
      </c>
      <c r="F1908" t="s">
        <v>3672</v>
      </c>
      <c r="G1908" t="str">
        <f>"201511040248"</f>
        <v>201511040248</v>
      </c>
      <c r="H1908" t="s">
        <v>752</v>
      </c>
      <c r="I1908">
        <v>0</v>
      </c>
      <c r="J1908">
        <v>0</v>
      </c>
      <c r="K1908">
        <v>0</v>
      </c>
      <c r="L1908">
        <v>0</v>
      </c>
      <c r="M1908">
        <v>100</v>
      </c>
      <c r="N1908">
        <v>70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24</v>
      </c>
      <c r="W1908">
        <v>168</v>
      </c>
      <c r="X1908">
        <v>0</v>
      </c>
      <c r="Z1908">
        <v>0</v>
      </c>
      <c r="AA1908">
        <v>0</v>
      </c>
      <c r="AB1908">
        <v>0</v>
      </c>
      <c r="AC1908">
        <v>0</v>
      </c>
      <c r="AD1908" t="s">
        <v>3673</v>
      </c>
    </row>
    <row r="1909" spans="1:30" x14ac:dyDescent="0.25">
      <c r="H1909" t="s">
        <v>3674</v>
      </c>
    </row>
    <row r="1910" spans="1:30" x14ac:dyDescent="0.25">
      <c r="A1910">
        <v>952</v>
      </c>
      <c r="B1910">
        <v>1315</v>
      </c>
      <c r="C1910" t="s">
        <v>3675</v>
      </c>
      <c r="D1910" t="s">
        <v>3676</v>
      </c>
      <c r="E1910" t="s">
        <v>352</v>
      </c>
      <c r="F1910" t="s">
        <v>3677</v>
      </c>
      <c r="G1910" t="str">
        <f>"00318569"</f>
        <v>00318569</v>
      </c>
      <c r="H1910" t="s">
        <v>184</v>
      </c>
      <c r="I1910">
        <v>0</v>
      </c>
      <c r="J1910">
        <v>0</v>
      </c>
      <c r="K1910">
        <v>0</v>
      </c>
      <c r="L1910">
        <v>200</v>
      </c>
      <c r="M1910">
        <v>0</v>
      </c>
      <c r="N1910">
        <v>70</v>
      </c>
      <c r="O1910">
        <v>0</v>
      </c>
      <c r="P1910">
        <v>50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X1910">
        <v>0</v>
      </c>
      <c r="Z1910">
        <v>0</v>
      </c>
      <c r="AA1910">
        <v>0</v>
      </c>
      <c r="AB1910">
        <v>0</v>
      </c>
      <c r="AC1910">
        <v>0</v>
      </c>
      <c r="AD1910" t="s">
        <v>3678</v>
      </c>
    </row>
    <row r="1911" spans="1:30" x14ac:dyDescent="0.25">
      <c r="H1911" t="s">
        <v>3679</v>
      </c>
    </row>
    <row r="1912" spans="1:30" x14ac:dyDescent="0.25">
      <c r="A1912">
        <v>953</v>
      </c>
      <c r="B1912">
        <v>3302</v>
      </c>
      <c r="C1912" t="s">
        <v>3680</v>
      </c>
      <c r="D1912" t="s">
        <v>2860</v>
      </c>
      <c r="E1912" t="s">
        <v>42</v>
      </c>
      <c r="F1912" t="s">
        <v>3681</v>
      </c>
      <c r="G1912" t="str">
        <f>"201406013045"</f>
        <v>201406013045</v>
      </c>
      <c r="H1912" t="s">
        <v>274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70</v>
      </c>
      <c r="O1912">
        <v>0</v>
      </c>
      <c r="P1912">
        <v>50</v>
      </c>
      <c r="Q1912">
        <v>0</v>
      </c>
      <c r="R1912">
        <v>30</v>
      </c>
      <c r="S1912">
        <v>0</v>
      </c>
      <c r="T1912">
        <v>0</v>
      </c>
      <c r="U1912">
        <v>0</v>
      </c>
      <c r="V1912">
        <v>32</v>
      </c>
      <c r="W1912">
        <v>224</v>
      </c>
      <c r="X1912">
        <v>0</v>
      </c>
      <c r="Z1912">
        <v>0</v>
      </c>
      <c r="AA1912">
        <v>0</v>
      </c>
      <c r="AB1912">
        <v>0</v>
      </c>
      <c r="AC1912">
        <v>0</v>
      </c>
      <c r="AD1912" t="s">
        <v>3682</v>
      </c>
    </row>
    <row r="1913" spans="1:30" x14ac:dyDescent="0.25">
      <c r="H1913" t="s">
        <v>168</v>
      </c>
    </row>
    <row r="1914" spans="1:30" x14ac:dyDescent="0.25">
      <c r="A1914">
        <v>954</v>
      </c>
      <c r="B1914">
        <v>2956</v>
      </c>
      <c r="C1914" t="s">
        <v>3683</v>
      </c>
      <c r="D1914" t="s">
        <v>3684</v>
      </c>
      <c r="E1914" t="s">
        <v>59</v>
      </c>
      <c r="F1914" t="s">
        <v>3685</v>
      </c>
      <c r="G1914" t="str">
        <f>"00150847"</f>
        <v>00150847</v>
      </c>
      <c r="H1914" t="s">
        <v>1370</v>
      </c>
      <c r="I1914">
        <v>0</v>
      </c>
      <c r="J1914">
        <v>0</v>
      </c>
      <c r="K1914">
        <v>0</v>
      </c>
      <c r="L1914">
        <v>200</v>
      </c>
      <c r="M1914">
        <v>0</v>
      </c>
      <c r="N1914">
        <v>70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11</v>
      </c>
      <c r="W1914">
        <v>77</v>
      </c>
      <c r="X1914">
        <v>0</v>
      </c>
      <c r="Z1914">
        <v>0</v>
      </c>
      <c r="AA1914">
        <v>0</v>
      </c>
      <c r="AB1914">
        <v>0</v>
      </c>
      <c r="AC1914">
        <v>0</v>
      </c>
      <c r="AD1914" t="s">
        <v>3686</v>
      </c>
    </row>
    <row r="1915" spans="1:30" x14ac:dyDescent="0.25">
      <c r="H1915" t="s">
        <v>3687</v>
      </c>
    </row>
    <row r="1916" spans="1:30" x14ac:dyDescent="0.25">
      <c r="A1916">
        <v>955</v>
      </c>
      <c r="B1916">
        <v>1575</v>
      </c>
      <c r="C1916" t="s">
        <v>3688</v>
      </c>
      <c r="D1916" t="s">
        <v>135</v>
      </c>
      <c r="E1916" t="s">
        <v>28</v>
      </c>
      <c r="F1916" t="s">
        <v>3689</v>
      </c>
      <c r="G1916" t="str">
        <f>"00321399"</f>
        <v>00321399</v>
      </c>
      <c r="H1916" t="s">
        <v>3050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50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50</v>
      </c>
      <c r="W1916">
        <v>350</v>
      </c>
      <c r="X1916">
        <v>0</v>
      </c>
      <c r="Z1916">
        <v>0</v>
      </c>
      <c r="AA1916">
        <v>0</v>
      </c>
      <c r="AB1916">
        <v>0</v>
      </c>
      <c r="AC1916">
        <v>0</v>
      </c>
      <c r="AD1916" t="s">
        <v>3690</v>
      </c>
    </row>
    <row r="1917" spans="1:30" x14ac:dyDescent="0.25">
      <c r="H1917">
        <v>1078</v>
      </c>
    </row>
    <row r="1918" spans="1:30" x14ac:dyDescent="0.25">
      <c r="A1918">
        <v>956</v>
      </c>
      <c r="B1918">
        <v>5092</v>
      </c>
      <c r="C1918" t="s">
        <v>3691</v>
      </c>
      <c r="D1918" t="s">
        <v>3322</v>
      </c>
      <c r="E1918" t="s">
        <v>135</v>
      </c>
      <c r="F1918" t="s">
        <v>3692</v>
      </c>
      <c r="G1918" t="str">
        <f>"00369023"</f>
        <v>00369023</v>
      </c>
      <c r="H1918" t="s">
        <v>44</v>
      </c>
      <c r="I1918">
        <v>150</v>
      </c>
      <c r="J1918">
        <v>0</v>
      </c>
      <c r="K1918">
        <v>0</v>
      </c>
      <c r="L1918">
        <v>0</v>
      </c>
      <c r="M1918">
        <v>0</v>
      </c>
      <c r="N1918">
        <v>70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W1918">
        <v>0</v>
      </c>
      <c r="X1918">
        <v>0</v>
      </c>
      <c r="Z1918">
        <v>0</v>
      </c>
      <c r="AA1918">
        <v>0</v>
      </c>
      <c r="AB1918">
        <v>0</v>
      </c>
      <c r="AC1918">
        <v>0</v>
      </c>
      <c r="AD1918" t="s">
        <v>3693</v>
      </c>
    </row>
    <row r="1919" spans="1:30" x14ac:dyDescent="0.25">
      <c r="H1919" t="s">
        <v>1610</v>
      </c>
    </row>
    <row r="1920" spans="1:30" x14ac:dyDescent="0.25">
      <c r="A1920">
        <v>957</v>
      </c>
      <c r="B1920">
        <v>720</v>
      </c>
      <c r="C1920" t="s">
        <v>3694</v>
      </c>
      <c r="D1920" t="s">
        <v>152</v>
      </c>
      <c r="E1920" t="s">
        <v>135</v>
      </c>
      <c r="F1920" t="s">
        <v>3695</v>
      </c>
      <c r="G1920" t="str">
        <f>"201412003401"</f>
        <v>201412003401</v>
      </c>
      <c r="H1920" t="s">
        <v>723</v>
      </c>
      <c r="I1920">
        <v>0</v>
      </c>
      <c r="J1920">
        <v>0</v>
      </c>
      <c r="K1920">
        <v>0</v>
      </c>
      <c r="L1920">
        <v>200</v>
      </c>
      <c r="M1920">
        <v>0</v>
      </c>
      <c r="N1920">
        <v>70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14</v>
      </c>
      <c r="W1920">
        <v>98</v>
      </c>
      <c r="X1920">
        <v>0</v>
      </c>
      <c r="Z1920">
        <v>0</v>
      </c>
      <c r="AA1920">
        <v>0</v>
      </c>
      <c r="AB1920">
        <v>0</v>
      </c>
      <c r="AC1920">
        <v>0</v>
      </c>
      <c r="AD1920" t="s">
        <v>3696</v>
      </c>
    </row>
    <row r="1921" spans="1:30" x14ac:dyDescent="0.25">
      <c r="H1921" t="s">
        <v>3697</v>
      </c>
    </row>
    <row r="1922" spans="1:30" x14ac:dyDescent="0.25">
      <c r="A1922">
        <v>958</v>
      </c>
      <c r="B1922">
        <v>5131</v>
      </c>
      <c r="C1922" t="s">
        <v>3698</v>
      </c>
      <c r="D1922" t="s">
        <v>48</v>
      </c>
      <c r="E1922" t="s">
        <v>203</v>
      </c>
      <c r="F1922" t="s">
        <v>3699</v>
      </c>
      <c r="G1922" t="str">
        <f>"00217910"</f>
        <v>00217910</v>
      </c>
      <c r="H1922" t="s">
        <v>1136</v>
      </c>
      <c r="I1922">
        <v>0</v>
      </c>
      <c r="J1922">
        <v>0</v>
      </c>
      <c r="K1922">
        <v>0</v>
      </c>
      <c r="L1922">
        <v>200</v>
      </c>
      <c r="M1922">
        <v>0</v>
      </c>
      <c r="N1922">
        <v>70</v>
      </c>
      <c r="O1922">
        <v>0</v>
      </c>
      <c r="P1922">
        <v>50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0</v>
      </c>
      <c r="X1922">
        <v>0</v>
      </c>
      <c r="Z1922">
        <v>0</v>
      </c>
      <c r="AA1922">
        <v>0</v>
      </c>
      <c r="AB1922">
        <v>0</v>
      </c>
      <c r="AC1922">
        <v>0</v>
      </c>
      <c r="AD1922" t="s">
        <v>3700</v>
      </c>
    </row>
    <row r="1923" spans="1:30" x14ac:dyDescent="0.25">
      <c r="H1923" t="s">
        <v>3701</v>
      </c>
    </row>
    <row r="1924" spans="1:30" x14ac:dyDescent="0.25">
      <c r="A1924">
        <v>959</v>
      </c>
      <c r="B1924">
        <v>967</v>
      </c>
      <c r="C1924" t="s">
        <v>3702</v>
      </c>
      <c r="D1924" t="s">
        <v>164</v>
      </c>
      <c r="E1924" t="s">
        <v>225</v>
      </c>
      <c r="F1924" t="s">
        <v>3703</v>
      </c>
      <c r="G1924" t="str">
        <f>"00144988"</f>
        <v>00144988</v>
      </c>
      <c r="H1924" t="s">
        <v>110</v>
      </c>
      <c r="I1924">
        <v>0</v>
      </c>
      <c r="J1924">
        <v>0</v>
      </c>
      <c r="K1924">
        <v>0</v>
      </c>
      <c r="L1924">
        <v>200</v>
      </c>
      <c r="M1924">
        <v>0</v>
      </c>
      <c r="N1924">
        <v>30</v>
      </c>
      <c r="O1924">
        <v>30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W1924">
        <v>0</v>
      </c>
      <c r="X1924">
        <v>0</v>
      </c>
      <c r="Z1924">
        <v>0</v>
      </c>
      <c r="AA1924">
        <v>0</v>
      </c>
      <c r="AB1924">
        <v>0</v>
      </c>
      <c r="AC1924">
        <v>0</v>
      </c>
      <c r="AD1924" t="s">
        <v>3704</v>
      </c>
    </row>
    <row r="1925" spans="1:30" x14ac:dyDescent="0.25">
      <c r="H1925" t="s">
        <v>3705</v>
      </c>
    </row>
    <row r="1926" spans="1:30" x14ac:dyDescent="0.25">
      <c r="A1926">
        <v>960</v>
      </c>
      <c r="B1926">
        <v>3124</v>
      </c>
      <c r="C1926" t="s">
        <v>3706</v>
      </c>
      <c r="D1926" t="s">
        <v>357</v>
      </c>
      <c r="E1926" t="s">
        <v>77</v>
      </c>
      <c r="F1926" t="s">
        <v>3707</v>
      </c>
      <c r="G1926" t="str">
        <f>"201410012775"</f>
        <v>201410012775</v>
      </c>
      <c r="H1926" t="s">
        <v>2658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30</v>
      </c>
      <c r="O1926">
        <v>30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46</v>
      </c>
      <c r="W1926">
        <v>322</v>
      </c>
      <c r="X1926">
        <v>0</v>
      </c>
      <c r="Z1926">
        <v>0</v>
      </c>
      <c r="AA1926">
        <v>0</v>
      </c>
      <c r="AB1926">
        <v>0</v>
      </c>
      <c r="AC1926">
        <v>0</v>
      </c>
      <c r="AD1926" t="s">
        <v>3708</v>
      </c>
    </row>
    <row r="1927" spans="1:30" x14ac:dyDescent="0.25">
      <c r="H1927" t="s">
        <v>3709</v>
      </c>
    </row>
    <row r="1928" spans="1:30" x14ac:dyDescent="0.25">
      <c r="A1928">
        <v>961</v>
      </c>
      <c r="B1928">
        <v>122</v>
      </c>
      <c r="C1928" t="s">
        <v>3710</v>
      </c>
      <c r="D1928" t="s">
        <v>135</v>
      </c>
      <c r="E1928" t="s">
        <v>59</v>
      </c>
      <c r="F1928" t="s">
        <v>3711</v>
      </c>
      <c r="G1928" t="str">
        <f>"201512000957"</f>
        <v>201512000957</v>
      </c>
      <c r="H1928" t="s">
        <v>2032</v>
      </c>
      <c r="I1928">
        <v>0</v>
      </c>
      <c r="J1928">
        <v>0</v>
      </c>
      <c r="K1928">
        <v>0</v>
      </c>
      <c r="L1928">
        <v>0</v>
      </c>
      <c r="M1928">
        <v>100</v>
      </c>
      <c r="N1928">
        <v>70</v>
      </c>
      <c r="O1928">
        <v>30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22</v>
      </c>
      <c r="W1928">
        <v>154</v>
      </c>
      <c r="X1928">
        <v>0</v>
      </c>
      <c r="Z1928">
        <v>0</v>
      </c>
      <c r="AA1928">
        <v>0</v>
      </c>
      <c r="AB1928">
        <v>0</v>
      </c>
      <c r="AC1928">
        <v>0</v>
      </c>
      <c r="AD1928" t="s">
        <v>3712</v>
      </c>
    </row>
    <row r="1929" spans="1:30" x14ac:dyDescent="0.25">
      <c r="H1929" t="s">
        <v>3713</v>
      </c>
    </row>
    <row r="1930" spans="1:30" x14ac:dyDescent="0.25">
      <c r="A1930">
        <v>962</v>
      </c>
      <c r="B1930">
        <v>2613</v>
      </c>
      <c r="C1930" t="s">
        <v>3714</v>
      </c>
      <c r="D1930" t="s">
        <v>148</v>
      </c>
      <c r="E1930" t="s">
        <v>77</v>
      </c>
      <c r="F1930" t="s">
        <v>3715</v>
      </c>
      <c r="G1930" t="str">
        <f>"201412006695"</f>
        <v>201412006695</v>
      </c>
      <c r="H1930" t="s">
        <v>17</v>
      </c>
      <c r="I1930">
        <v>0</v>
      </c>
      <c r="J1930">
        <v>0</v>
      </c>
      <c r="K1930">
        <v>0</v>
      </c>
      <c r="L1930">
        <v>200</v>
      </c>
      <c r="M1930">
        <v>0</v>
      </c>
      <c r="N1930">
        <v>70</v>
      </c>
      <c r="O1930">
        <v>0</v>
      </c>
      <c r="P1930">
        <v>0</v>
      </c>
      <c r="Q1930">
        <v>50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0</v>
      </c>
      <c r="X1930">
        <v>0</v>
      </c>
      <c r="Z1930">
        <v>0</v>
      </c>
      <c r="AA1930">
        <v>0</v>
      </c>
      <c r="AB1930">
        <v>0</v>
      </c>
      <c r="AC1930">
        <v>0</v>
      </c>
      <c r="AD1930" t="s">
        <v>3716</v>
      </c>
    </row>
    <row r="1931" spans="1:30" x14ac:dyDescent="0.25">
      <c r="H1931" t="s">
        <v>3717</v>
      </c>
    </row>
    <row r="1932" spans="1:30" x14ac:dyDescent="0.25">
      <c r="A1932">
        <v>963</v>
      </c>
      <c r="B1932">
        <v>3212</v>
      </c>
      <c r="C1932" t="s">
        <v>2384</v>
      </c>
      <c r="D1932" t="s">
        <v>327</v>
      </c>
      <c r="E1932" t="s">
        <v>77</v>
      </c>
      <c r="F1932" t="s">
        <v>3718</v>
      </c>
      <c r="G1932" t="str">
        <f>"00231944"</f>
        <v>00231944</v>
      </c>
      <c r="H1932" t="s">
        <v>61</v>
      </c>
      <c r="I1932">
        <v>0</v>
      </c>
      <c r="J1932">
        <v>0</v>
      </c>
      <c r="K1932">
        <v>0</v>
      </c>
      <c r="L1932">
        <v>200</v>
      </c>
      <c r="M1932">
        <v>0</v>
      </c>
      <c r="N1932">
        <v>70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0</v>
      </c>
      <c r="X1932">
        <v>0</v>
      </c>
      <c r="Z1932">
        <v>0</v>
      </c>
      <c r="AA1932">
        <v>0</v>
      </c>
      <c r="AB1932">
        <v>0</v>
      </c>
      <c r="AC1932">
        <v>0</v>
      </c>
      <c r="AD1932" t="s">
        <v>3719</v>
      </c>
    </row>
    <row r="1933" spans="1:30" x14ac:dyDescent="0.25">
      <c r="H1933" t="s">
        <v>3720</v>
      </c>
    </row>
    <row r="1934" spans="1:30" x14ac:dyDescent="0.25">
      <c r="A1934">
        <v>964</v>
      </c>
      <c r="B1934">
        <v>1313</v>
      </c>
      <c r="C1934" t="s">
        <v>3698</v>
      </c>
      <c r="D1934" t="s">
        <v>3721</v>
      </c>
      <c r="E1934" t="s">
        <v>77</v>
      </c>
      <c r="F1934" t="s">
        <v>3722</v>
      </c>
      <c r="G1934" t="str">
        <f>"00156606"</f>
        <v>00156606</v>
      </c>
      <c r="H1934" t="s">
        <v>3723</v>
      </c>
      <c r="I1934">
        <v>0</v>
      </c>
      <c r="J1934">
        <v>0</v>
      </c>
      <c r="K1934">
        <v>0</v>
      </c>
      <c r="L1934">
        <v>0</v>
      </c>
      <c r="M1934">
        <v>100</v>
      </c>
      <c r="N1934">
        <v>30</v>
      </c>
      <c r="O1934">
        <v>30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9</v>
      </c>
      <c r="W1934">
        <v>63</v>
      </c>
      <c r="X1934">
        <v>0</v>
      </c>
      <c r="Z1934">
        <v>0</v>
      </c>
      <c r="AA1934">
        <v>0</v>
      </c>
      <c r="AB1934">
        <v>0</v>
      </c>
      <c r="AC1934">
        <v>0</v>
      </c>
      <c r="AD1934" t="s">
        <v>3724</v>
      </c>
    </row>
    <row r="1935" spans="1:30" x14ac:dyDescent="0.25">
      <c r="H1935" t="s">
        <v>3725</v>
      </c>
    </row>
    <row r="1936" spans="1:30" x14ac:dyDescent="0.25">
      <c r="A1936">
        <v>965</v>
      </c>
      <c r="B1936">
        <v>2372</v>
      </c>
      <c r="C1936" t="s">
        <v>3726</v>
      </c>
      <c r="D1936" t="s">
        <v>3727</v>
      </c>
      <c r="E1936" t="s">
        <v>135</v>
      </c>
      <c r="F1936" t="s">
        <v>3728</v>
      </c>
      <c r="G1936" t="str">
        <f>"00368476"</f>
        <v>00368476</v>
      </c>
      <c r="H1936" t="s">
        <v>144</v>
      </c>
      <c r="I1936">
        <v>0</v>
      </c>
      <c r="J1936">
        <v>0</v>
      </c>
      <c r="K1936">
        <v>0</v>
      </c>
      <c r="L1936">
        <v>0</v>
      </c>
      <c r="M1936">
        <v>100</v>
      </c>
      <c r="N1936">
        <v>30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20</v>
      </c>
      <c r="W1936">
        <v>140</v>
      </c>
      <c r="X1936">
        <v>0</v>
      </c>
      <c r="Z1936">
        <v>0</v>
      </c>
      <c r="AA1936">
        <v>0</v>
      </c>
      <c r="AB1936">
        <v>0</v>
      </c>
      <c r="AC1936">
        <v>0</v>
      </c>
      <c r="AD1936" t="s">
        <v>3729</v>
      </c>
    </row>
    <row r="1937" spans="1:30" x14ac:dyDescent="0.25">
      <c r="H1937" t="s">
        <v>3730</v>
      </c>
    </row>
    <row r="1938" spans="1:30" x14ac:dyDescent="0.25">
      <c r="A1938">
        <v>966</v>
      </c>
      <c r="B1938">
        <v>3221</v>
      </c>
      <c r="C1938" t="s">
        <v>3731</v>
      </c>
      <c r="D1938" t="s">
        <v>35</v>
      </c>
      <c r="E1938" t="s">
        <v>3732</v>
      </c>
      <c r="F1938" t="s">
        <v>3733</v>
      </c>
      <c r="G1938" t="str">
        <f>"00362468"</f>
        <v>00362468</v>
      </c>
      <c r="H1938">
        <v>803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30</v>
      </c>
      <c r="O1938">
        <v>30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31</v>
      </c>
      <c r="W1938">
        <v>217</v>
      </c>
      <c r="X1938">
        <v>0</v>
      </c>
      <c r="Z1938">
        <v>0</v>
      </c>
      <c r="AA1938">
        <v>0</v>
      </c>
      <c r="AB1938">
        <v>0</v>
      </c>
      <c r="AC1938">
        <v>0</v>
      </c>
      <c r="AD1938">
        <v>1080</v>
      </c>
    </row>
    <row r="1939" spans="1:30" x14ac:dyDescent="0.25">
      <c r="H1939" t="s">
        <v>3734</v>
      </c>
    </row>
    <row r="1940" spans="1:30" x14ac:dyDescent="0.25">
      <c r="A1940">
        <v>967</v>
      </c>
      <c r="B1940">
        <v>3646</v>
      </c>
      <c r="C1940" t="s">
        <v>3735</v>
      </c>
      <c r="D1940" t="s">
        <v>103</v>
      </c>
      <c r="E1940" t="s">
        <v>2211</v>
      </c>
      <c r="F1940" t="s">
        <v>3736</v>
      </c>
      <c r="G1940" t="str">
        <f>"00367895"</f>
        <v>00367895</v>
      </c>
      <c r="H1940">
        <v>803</v>
      </c>
      <c r="I1940">
        <v>0</v>
      </c>
      <c r="J1940">
        <v>0</v>
      </c>
      <c r="K1940">
        <v>0</v>
      </c>
      <c r="L1940">
        <v>200</v>
      </c>
      <c r="M1940">
        <v>0</v>
      </c>
      <c r="N1940">
        <v>70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W1940">
        <v>0</v>
      </c>
      <c r="X1940">
        <v>0</v>
      </c>
      <c r="Z1940">
        <v>0</v>
      </c>
      <c r="AA1940">
        <v>0</v>
      </c>
      <c r="AB1940">
        <v>0</v>
      </c>
      <c r="AC1940">
        <v>0</v>
      </c>
      <c r="AD1940">
        <v>1073</v>
      </c>
    </row>
    <row r="1941" spans="1:30" x14ac:dyDescent="0.25">
      <c r="H1941" t="s">
        <v>3737</v>
      </c>
    </row>
    <row r="1942" spans="1:30" x14ac:dyDescent="0.25">
      <c r="A1942">
        <v>968</v>
      </c>
      <c r="B1942">
        <v>5276</v>
      </c>
      <c r="C1942" t="s">
        <v>3738</v>
      </c>
      <c r="D1942" t="s">
        <v>14</v>
      </c>
      <c r="E1942" t="s">
        <v>1604</v>
      </c>
      <c r="F1942" t="s">
        <v>3739</v>
      </c>
      <c r="G1942" t="str">
        <f>"00369991"</f>
        <v>00369991</v>
      </c>
      <c r="H1942" t="s">
        <v>348</v>
      </c>
      <c r="I1942">
        <v>0</v>
      </c>
      <c r="J1942">
        <v>0</v>
      </c>
      <c r="K1942">
        <v>0</v>
      </c>
      <c r="L1942">
        <v>200</v>
      </c>
      <c r="M1942">
        <v>0</v>
      </c>
      <c r="N1942">
        <v>70</v>
      </c>
      <c r="O1942">
        <v>0</v>
      </c>
      <c r="P1942">
        <v>50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W1942">
        <v>0</v>
      </c>
      <c r="X1942">
        <v>0</v>
      </c>
      <c r="Z1942">
        <v>0</v>
      </c>
      <c r="AA1942">
        <v>0</v>
      </c>
      <c r="AB1942">
        <v>0</v>
      </c>
      <c r="AC1942">
        <v>0</v>
      </c>
      <c r="AD1942" t="s">
        <v>3740</v>
      </c>
    </row>
    <row r="1943" spans="1:30" x14ac:dyDescent="0.25">
      <c r="H1943" t="s">
        <v>3741</v>
      </c>
    </row>
    <row r="1944" spans="1:30" x14ac:dyDescent="0.25">
      <c r="A1944">
        <v>969</v>
      </c>
      <c r="B1944">
        <v>1550</v>
      </c>
      <c r="C1944" t="s">
        <v>3742</v>
      </c>
      <c r="D1944" t="s">
        <v>3743</v>
      </c>
      <c r="E1944" t="s">
        <v>3744</v>
      </c>
      <c r="F1944" t="s">
        <v>3745</v>
      </c>
      <c r="G1944" t="str">
        <f>"00215563"</f>
        <v>00215563</v>
      </c>
      <c r="H1944" t="s">
        <v>98</v>
      </c>
      <c r="I1944">
        <v>0</v>
      </c>
      <c r="J1944">
        <v>0</v>
      </c>
      <c r="K1944">
        <v>0</v>
      </c>
      <c r="L1944">
        <v>0</v>
      </c>
      <c r="M1944">
        <v>100</v>
      </c>
      <c r="N1944">
        <v>70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2</v>
      </c>
      <c r="W1944">
        <v>14</v>
      </c>
      <c r="X1944">
        <v>0</v>
      </c>
      <c r="Z1944">
        <v>0</v>
      </c>
      <c r="AA1944">
        <v>0</v>
      </c>
      <c r="AB1944">
        <v>0</v>
      </c>
      <c r="AC1944">
        <v>0</v>
      </c>
      <c r="AD1944" t="s">
        <v>3746</v>
      </c>
    </row>
    <row r="1945" spans="1:30" x14ac:dyDescent="0.25">
      <c r="H1945" t="s">
        <v>3747</v>
      </c>
    </row>
    <row r="1946" spans="1:30" x14ac:dyDescent="0.25">
      <c r="A1946">
        <v>970</v>
      </c>
      <c r="B1946">
        <v>2510</v>
      </c>
      <c r="C1946" t="s">
        <v>3748</v>
      </c>
      <c r="D1946" t="s">
        <v>664</v>
      </c>
      <c r="E1946" t="s">
        <v>59</v>
      </c>
      <c r="F1946" t="s">
        <v>3749</v>
      </c>
      <c r="G1946" t="str">
        <f>"00308204"</f>
        <v>00308204</v>
      </c>
      <c r="H1946">
        <v>836</v>
      </c>
      <c r="I1946">
        <v>0</v>
      </c>
      <c r="J1946">
        <v>0</v>
      </c>
      <c r="K1946">
        <v>0</v>
      </c>
      <c r="L1946">
        <v>200</v>
      </c>
      <c r="M1946">
        <v>0</v>
      </c>
      <c r="N1946">
        <v>30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W1946">
        <v>0</v>
      </c>
      <c r="X1946">
        <v>0</v>
      </c>
      <c r="Z1946">
        <v>1</v>
      </c>
      <c r="AA1946">
        <v>0</v>
      </c>
      <c r="AB1946">
        <v>0</v>
      </c>
      <c r="AC1946">
        <v>0</v>
      </c>
      <c r="AD1946">
        <v>1066</v>
      </c>
    </row>
    <row r="1947" spans="1:30" x14ac:dyDescent="0.25">
      <c r="H1947" t="s">
        <v>3750</v>
      </c>
    </row>
    <row r="1948" spans="1:30" x14ac:dyDescent="0.25">
      <c r="A1948">
        <v>971</v>
      </c>
      <c r="B1948">
        <v>3226</v>
      </c>
      <c r="C1948" t="s">
        <v>3751</v>
      </c>
      <c r="D1948" t="s">
        <v>59</v>
      </c>
      <c r="E1948" t="s">
        <v>1361</v>
      </c>
      <c r="F1948" t="s">
        <v>3752</v>
      </c>
      <c r="G1948" t="str">
        <f>"00347475"</f>
        <v>00347475</v>
      </c>
      <c r="H1948">
        <v>770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30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38</v>
      </c>
      <c r="W1948">
        <v>266</v>
      </c>
      <c r="X1948">
        <v>0</v>
      </c>
      <c r="Z1948">
        <v>0</v>
      </c>
      <c r="AA1948">
        <v>0</v>
      </c>
      <c r="AB1948">
        <v>0</v>
      </c>
      <c r="AC1948">
        <v>0</v>
      </c>
      <c r="AD1948">
        <v>1066</v>
      </c>
    </row>
    <row r="1949" spans="1:30" x14ac:dyDescent="0.25">
      <c r="H1949">
        <v>1085</v>
      </c>
    </row>
    <row r="1950" spans="1:30" x14ac:dyDescent="0.25">
      <c r="A1950">
        <v>972</v>
      </c>
      <c r="B1950">
        <v>1703</v>
      </c>
      <c r="C1950" t="s">
        <v>3753</v>
      </c>
      <c r="D1950" t="s">
        <v>389</v>
      </c>
      <c r="E1950" t="s">
        <v>135</v>
      </c>
      <c r="F1950" t="s">
        <v>3754</v>
      </c>
      <c r="G1950" t="str">
        <f>"00322740"</f>
        <v>00322740</v>
      </c>
      <c r="H1950" t="s">
        <v>651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30</v>
      </c>
      <c r="O1950">
        <v>30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28</v>
      </c>
      <c r="W1950">
        <v>196</v>
      </c>
      <c r="X1950">
        <v>0</v>
      </c>
      <c r="Z1950">
        <v>0</v>
      </c>
      <c r="AA1950">
        <v>0</v>
      </c>
      <c r="AB1950">
        <v>0</v>
      </c>
      <c r="AC1950">
        <v>0</v>
      </c>
      <c r="AD1950" t="s">
        <v>3755</v>
      </c>
    </row>
    <row r="1951" spans="1:30" x14ac:dyDescent="0.25">
      <c r="H1951" t="s">
        <v>3756</v>
      </c>
    </row>
    <row r="1952" spans="1:30" x14ac:dyDescent="0.25">
      <c r="A1952">
        <v>973</v>
      </c>
      <c r="B1952">
        <v>1529</v>
      </c>
      <c r="C1952" t="s">
        <v>3757</v>
      </c>
      <c r="D1952" t="s">
        <v>15</v>
      </c>
      <c r="E1952" t="s">
        <v>702</v>
      </c>
      <c r="F1952" t="s">
        <v>3758</v>
      </c>
      <c r="G1952" t="str">
        <f>"200712001181"</f>
        <v>200712001181</v>
      </c>
      <c r="H1952">
        <v>825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30</v>
      </c>
      <c r="O1952">
        <v>70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20</v>
      </c>
      <c r="W1952">
        <v>140</v>
      </c>
      <c r="X1952">
        <v>0</v>
      </c>
      <c r="Z1952">
        <v>0</v>
      </c>
      <c r="AA1952">
        <v>0</v>
      </c>
      <c r="AB1952">
        <v>0</v>
      </c>
      <c r="AC1952">
        <v>0</v>
      </c>
      <c r="AD1952">
        <v>1065</v>
      </c>
    </row>
    <row r="1953" spans="1:30" x14ac:dyDescent="0.25">
      <c r="H1953" t="s">
        <v>3759</v>
      </c>
    </row>
    <row r="1954" spans="1:30" x14ac:dyDescent="0.25">
      <c r="A1954">
        <v>974</v>
      </c>
      <c r="B1954">
        <v>3643</v>
      </c>
      <c r="C1954" t="s">
        <v>2384</v>
      </c>
      <c r="D1954" t="s">
        <v>1502</v>
      </c>
      <c r="E1954" t="s">
        <v>77</v>
      </c>
      <c r="F1954" t="s">
        <v>3760</v>
      </c>
      <c r="G1954" t="str">
        <f>"201410009236"</f>
        <v>201410009236</v>
      </c>
      <c r="H1954" t="s">
        <v>498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70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31</v>
      </c>
      <c r="W1954">
        <v>217</v>
      </c>
      <c r="X1954">
        <v>0</v>
      </c>
      <c r="Z1954">
        <v>0</v>
      </c>
      <c r="AA1954">
        <v>0</v>
      </c>
      <c r="AB1954">
        <v>0</v>
      </c>
      <c r="AC1954">
        <v>0</v>
      </c>
      <c r="AD1954" t="s">
        <v>3761</v>
      </c>
    </row>
    <row r="1955" spans="1:30" x14ac:dyDescent="0.25">
      <c r="H1955" t="s">
        <v>3762</v>
      </c>
    </row>
    <row r="1956" spans="1:30" x14ac:dyDescent="0.25">
      <c r="A1956">
        <v>975</v>
      </c>
      <c r="B1956">
        <v>4412</v>
      </c>
      <c r="C1956" t="s">
        <v>3763</v>
      </c>
      <c r="D1956" t="s">
        <v>1130</v>
      </c>
      <c r="E1956" t="s">
        <v>77</v>
      </c>
      <c r="F1956" t="s">
        <v>3764</v>
      </c>
      <c r="G1956" t="str">
        <f>"00192343"</f>
        <v>00192343</v>
      </c>
      <c r="H1956" t="s">
        <v>239</v>
      </c>
      <c r="I1956">
        <v>0</v>
      </c>
      <c r="J1956">
        <v>0</v>
      </c>
      <c r="K1956">
        <v>0</v>
      </c>
      <c r="L1956">
        <v>0</v>
      </c>
      <c r="M1956">
        <v>100</v>
      </c>
      <c r="N1956">
        <v>70</v>
      </c>
      <c r="O1956">
        <v>70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7</v>
      </c>
      <c r="W1956">
        <v>49</v>
      </c>
      <c r="X1956">
        <v>0</v>
      </c>
      <c r="Z1956">
        <v>1</v>
      </c>
      <c r="AA1956">
        <v>0</v>
      </c>
      <c r="AB1956">
        <v>0</v>
      </c>
      <c r="AC1956">
        <v>0</v>
      </c>
      <c r="AD1956" t="s">
        <v>3765</v>
      </c>
    </row>
    <row r="1957" spans="1:30" x14ac:dyDescent="0.25">
      <c r="H1957" t="s">
        <v>3499</v>
      </c>
    </row>
    <row r="1958" spans="1:30" x14ac:dyDescent="0.25">
      <c r="A1958">
        <v>976</v>
      </c>
      <c r="B1958">
        <v>4288</v>
      </c>
      <c r="C1958" t="s">
        <v>3766</v>
      </c>
      <c r="D1958" t="s">
        <v>148</v>
      </c>
      <c r="E1958" t="s">
        <v>77</v>
      </c>
      <c r="F1958" t="s">
        <v>3767</v>
      </c>
      <c r="G1958" t="str">
        <f>"00368316"</f>
        <v>00368316</v>
      </c>
      <c r="H1958" t="s">
        <v>3228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70</v>
      </c>
      <c r="O1958">
        <v>0</v>
      </c>
      <c r="P1958">
        <v>30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35</v>
      </c>
      <c r="W1958">
        <v>245</v>
      </c>
      <c r="X1958">
        <v>0</v>
      </c>
      <c r="Z1958">
        <v>0</v>
      </c>
      <c r="AA1958">
        <v>0</v>
      </c>
      <c r="AB1958">
        <v>0</v>
      </c>
      <c r="AC1958">
        <v>0</v>
      </c>
      <c r="AD1958" t="s">
        <v>3768</v>
      </c>
    </row>
    <row r="1959" spans="1:30" x14ac:dyDescent="0.25">
      <c r="H1959" t="s">
        <v>3769</v>
      </c>
    </row>
    <row r="1960" spans="1:30" x14ac:dyDescent="0.25">
      <c r="A1960">
        <v>977</v>
      </c>
      <c r="B1960">
        <v>4293</v>
      </c>
      <c r="C1960" t="s">
        <v>3770</v>
      </c>
      <c r="D1960" t="s">
        <v>119</v>
      </c>
      <c r="E1960" t="s">
        <v>203</v>
      </c>
      <c r="F1960" t="s">
        <v>3771</v>
      </c>
      <c r="G1960" t="str">
        <f>"201406005969"</f>
        <v>201406005969</v>
      </c>
      <c r="H1960" t="s">
        <v>3772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30</v>
      </c>
      <c r="O1960">
        <v>70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44</v>
      </c>
      <c r="W1960">
        <v>308</v>
      </c>
      <c r="X1960">
        <v>0</v>
      </c>
      <c r="Z1960">
        <v>0</v>
      </c>
      <c r="AA1960">
        <v>0</v>
      </c>
      <c r="AB1960">
        <v>0</v>
      </c>
      <c r="AC1960">
        <v>0</v>
      </c>
      <c r="AD1960" t="s">
        <v>3773</v>
      </c>
    </row>
    <row r="1961" spans="1:30" x14ac:dyDescent="0.25">
      <c r="H1961" t="s">
        <v>3774</v>
      </c>
    </row>
    <row r="1962" spans="1:30" x14ac:dyDescent="0.25">
      <c r="A1962">
        <v>978</v>
      </c>
      <c r="B1962">
        <v>2842</v>
      </c>
      <c r="C1962" t="s">
        <v>3775</v>
      </c>
      <c r="D1962" t="s">
        <v>35</v>
      </c>
      <c r="E1962" t="s">
        <v>435</v>
      </c>
      <c r="F1962" t="s">
        <v>3776</v>
      </c>
      <c r="G1962" t="str">
        <f>"00365134"</f>
        <v>00365134</v>
      </c>
      <c r="H1962" t="s">
        <v>1382</v>
      </c>
      <c r="I1962">
        <v>0</v>
      </c>
      <c r="J1962">
        <v>0</v>
      </c>
      <c r="K1962">
        <v>0</v>
      </c>
      <c r="L1962">
        <v>0</v>
      </c>
      <c r="M1962">
        <v>100</v>
      </c>
      <c r="N1962">
        <v>70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0</v>
      </c>
      <c r="W1962">
        <v>0</v>
      </c>
      <c r="X1962">
        <v>0</v>
      </c>
      <c r="Z1962">
        <v>0</v>
      </c>
      <c r="AA1962">
        <v>0</v>
      </c>
      <c r="AB1962">
        <v>1</v>
      </c>
      <c r="AC1962">
        <v>17</v>
      </c>
      <c r="AD1962" t="s">
        <v>3777</v>
      </c>
    </row>
    <row r="1963" spans="1:30" x14ac:dyDescent="0.25">
      <c r="H1963" t="s">
        <v>3778</v>
      </c>
    </row>
    <row r="1964" spans="1:30" x14ac:dyDescent="0.25">
      <c r="A1964">
        <v>979</v>
      </c>
      <c r="B1964">
        <v>2646</v>
      </c>
      <c r="C1964" t="s">
        <v>3779</v>
      </c>
      <c r="D1964" t="s">
        <v>1732</v>
      </c>
      <c r="E1964" t="s">
        <v>225</v>
      </c>
      <c r="F1964" t="s">
        <v>3780</v>
      </c>
      <c r="G1964" t="str">
        <f>"00346433"</f>
        <v>00346433</v>
      </c>
      <c r="H1964" t="s">
        <v>1784</v>
      </c>
      <c r="I1964">
        <v>0</v>
      </c>
      <c r="J1964">
        <v>0</v>
      </c>
      <c r="K1964">
        <v>0</v>
      </c>
      <c r="L1964">
        <v>0</v>
      </c>
      <c r="M1964">
        <v>100</v>
      </c>
      <c r="N1964">
        <v>70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13</v>
      </c>
      <c r="W1964">
        <v>91</v>
      </c>
      <c r="X1964">
        <v>0</v>
      </c>
      <c r="Z1964">
        <v>0</v>
      </c>
      <c r="AA1964">
        <v>0</v>
      </c>
      <c r="AB1964">
        <v>0</v>
      </c>
      <c r="AC1964">
        <v>0</v>
      </c>
      <c r="AD1964" t="s">
        <v>3781</v>
      </c>
    </row>
    <row r="1965" spans="1:30" x14ac:dyDescent="0.25">
      <c r="H1965">
        <v>1078</v>
      </c>
    </row>
    <row r="1966" spans="1:30" x14ac:dyDescent="0.25">
      <c r="A1966">
        <v>980</v>
      </c>
      <c r="B1966">
        <v>3590</v>
      </c>
      <c r="C1966" t="s">
        <v>3782</v>
      </c>
      <c r="D1966" t="s">
        <v>59</v>
      </c>
      <c r="E1966" t="s">
        <v>28</v>
      </c>
      <c r="F1966" t="s">
        <v>3783</v>
      </c>
      <c r="G1966" t="str">
        <f>"00363693"</f>
        <v>00363693</v>
      </c>
      <c r="H1966" t="s">
        <v>498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70</v>
      </c>
      <c r="O1966">
        <v>0</v>
      </c>
      <c r="P1966">
        <v>0</v>
      </c>
      <c r="Q1966">
        <v>30</v>
      </c>
      <c r="R1966">
        <v>0</v>
      </c>
      <c r="S1966">
        <v>0</v>
      </c>
      <c r="T1966">
        <v>0</v>
      </c>
      <c r="U1966">
        <v>0</v>
      </c>
      <c r="V1966">
        <v>24</v>
      </c>
      <c r="W1966">
        <v>168</v>
      </c>
      <c r="X1966">
        <v>0</v>
      </c>
      <c r="Z1966">
        <v>0</v>
      </c>
      <c r="AA1966">
        <v>0</v>
      </c>
      <c r="AB1966">
        <v>0</v>
      </c>
      <c r="AC1966">
        <v>0</v>
      </c>
      <c r="AD1966" t="s">
        <v>3784</v>
      </c>
    </row>
    <row r="1967" spans="1:30" x14ac:dyDescent="0.25">
      <c r="H1967" t="s">
        <v>3785</v>
      </c>
    </row>
    <row r="1968" spans="1:30" x14ac:dyDescent="0.25">
      <c r="A1968">
        <v>981</v>
      </c>
      <c r="B1968">
        <v>3062</v>
      </c>
      <c r="C1968" t="s">
        <v>3786</v>
      </c>
      <c r="D1968" t="s">
        <v>103</v>
      </c>
      <c r="E1968" t="s">
        <v>135</v>
      </c>
      <c r="F1968" t="s">
        <v>3787</v>
      </c>
      <c r="G1968" t="str">
        <f>"00248296"</f>
        <v>00248296</v>
      </c>
      <c r="H1968" t="s">
        <v>483</v>
      </c>
      <c r="I1968">
        <v>0</v>
      </c>
      <c r="J1968">
        <v>0</v>
      </c>
      <c r="K1968">
        <v>0</v>
      </c>
      <c r="L1968">
        <v>0</v>
      </c>
      <c r="M1968">
        <v>100</v>
      </c>
      <c r="N1968">
        <v>70</v>
      </c>
      <c r="O1968">
        <v>30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0</v>
      </c>
      <c r="X1968">
        <v>0</v>
      </c>
      <c r="Z1968">
        <v>0</v>
      </c>
      <c r="AA1968">
        <v>0</v>
      </c>
      <c r="AB1968">
        <v>0</v>
      </c>
      <c r="AC1968">
        <v>0</v>
      </c>
      <c r="AD1968" t="s">
        <v>3788</v>
      </c>
    </row>
    <row r="1969" spans="1:30" x14ac:dyDescent="0.25">
      <c r="H1969" t="s">
        <v>3789</v>
      </c>
    </row>
    <row r="1970" spans="1:30" x14ac:dyDescent="0.25">
      <c r="A1970">
        <v>982</v>
      </c>
      <c r="B1970">
        <v>1589</v>
      </c>
      <c r="C1970" t="s">
        <v>3790</v>
      </c>
      <c r="D1970" t="s">
        <v>65</v>
      </c>
      <c r="E1970" t="s">
        <v>3791</v>
      </c>
      <c r="F1970" t="s">
        <v>3792</v>
      </c>
      <c r="G1970" t="str">
        <f>"00322194"</f>
        <v>00322194</v>
      </c>
      <c r="H1970" t="s">
        <v>498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70</v>
      </c>
      <c r="O1970">
        <v>0</v>
      </c>
      <c r="P1970">
        <v>30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23</v>
      </c>
      <c r="W1970">
        <v>161</v>
      </c>
      <c r="X1970">
        <v>0</v>
      </c>
      <c r="Z1970">
        <v>0</v>
      </c>
      <c r="AA1970">
        <v>0</v>
      </c>
      <c r="AB1970">
        <v>0</v>
      </c>
      <c r="AC1970">
        <v>0</v>
      </c>
      <c r="AD1970" t="s">
        <v>3793</v>
      </c>
    </row>
    <row r="1971" spans="1:30" x14ac:dyDescent="0.25">
      <c r="H1971" t="s">
        <v>3243</v>
      </c>
    </row>
    <row r="1972" spans="1:30" x14ac:dyDescent="0.25">
      <c r="A1972">
        <v>983</v>
      </c>
      <c r="B1972">
        <v>4929</v>
      </c>
      <c r="C1972" t="s">
        <v>3794</v>
      </c>
      <c r="D1972" t="s">
        <v>780</v>
      </c>
      <c r="E1972" t="s">
        <v>59</v>
      </c>
      <c r="F1972" t="s">
        <v>3795</v>
      </c>
      <c r="G1972" t="str">
        <f>"00352251"</f>
        <v>00352251</v>
      </c>
      <c r="H1972" t="s">
        <v>3796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50</v>
      </c>
      <c r="V1972">
        <v>52</v>
      </c>
      <c r="W1972">
        <v>364</v>
      </c>
      <c r="X1972">
        <v>0</v>
      </c>
      <c r="Z1972">
        <v>0</v>
      </c>
      <c r="AA1972">
        <v>0</v>
      </c>
      <c r="AB1972">
        <v>0</v>
      </c>
      <c r="AC1972">
        <v>0</v>
      </c>
      <c r="AD1972" t="s">
        <v>3797</v>
      </c>
    </row>
    <row r="1973" spans="1:30" x14ac:dyDescent="0.25">
      <c r="H1973" t="s">
        <v>3798</v>
      </c>
    </row>
    <row r="1974" spans="1:30" x14ac:dyDescent="0.25">
      <c r="A1974">
        <v>984</v>
      </c>
      <c r="B1974">
        <v>5139</v>
      </c>
      <c r="C1974" t="s">
        <v>3799</v>
      </c>
      <c r="D1974" t="s">
        <v>148</v>
      </c>
      <c r="E1974" t="s">
        <v>103</v>
      </c>
      <c r="F1974" t="s">
        <v>3800</v>
      </c>
      <c r="G1974" t="str">
        <f>"00371212"</f>
        <v>00371212</v>
      </c>
      <c r="H1974">
        <v>770</v>
      </c>
      <c r="I1974">
        <v>150</v>
      </c>
      <c r="J1974">
        <v>0</v>
      </c>
      <c r="K1974">
        <v>0</v>
      </c>
      <c r="L1974">
        <v>0</v>
      </c>
      <c r="M1974">
        <v>0</v>
      </c>
      <c r="N1974">
        <v>70</v>
      </c>
      <c r="O1974">
        <v>0</v>
      </c>
      <c r="P1974">
        <v>30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0</v>
      </c>
      <c r="X1974">
        <v>0</v>
      </c>
      <c r="Z1974">
        <v>0</v>
      </c>
      <c r="AA1974">
        <v>0</v>
      </c>
      <c r="AB1974">
        <v>0</v>
      </c>
      <c r="AC1974">
        <v>0</v>
      </c>
      <c r="AD1974">
        <v>1020</v>
      </c>
    </row>
    <row r="1975" spans="1:30" x14ac:dyDescent="0.25">
      <c r="H1975" t="s">
        <v>2015</v>
      </c>
    </row>
    <row r="1976" spans="1:30" x14ac:dyDescent="0.25">
      <c r="A1976">
        <v>985</v>
      </c>
      <c r="B1976">
        <v>3619</v>
      </c>
      <c r="C1976" t="s">
        <v>3801</v>
      </c>
      <c r="D1976" t="s">
        <v>197</v>
      </c>
      <c r="E1976" t="s">
        <v>294</v>
      </c>
      <c r="F1976" t="s">
        <v>3802</v>
      </c>
      <c r="G1976" t="str">
        <f>"00143794"</f>
        <v>00143794</v>
      </c>
      <c r="H1976">
        <v>770</v>
      </c>
      <c r="I1976">
        <v>0</v>
      </c>
      <c r="J1976">
        <v>0</v>
      </c>
      <c r="K1976">
        <v>0</v>
      </c>
      <c r="L1976">
        <v>0</v>
      </c>
      <c r="M1976">
        <v>130</v>
      </c>
      <c r="N1976">
        <v>70</v>
      </c>
      <c r="O1976">
        <v>0</v>
      </c>
      <c r="P1976">
        <v>50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0</v>
      </c>
      <c r="W1976">
        <v>0</v>
      </c>
      <c r="X1976">
        <v>0</v>
      </c>
      <c r="Z1976">
        <v>0</v>
      </c>
      <c r="AA1976">
        <v>0</v>
      </c>
      <c r="AB1976">
        <v>0</v>
      </c>
      <c r="AC1976">
        <v>0</v>
      </c>
      <c r="AD1976">
        <v>1020</v>
      </c>
    </row>
    <row r="1977" spans="1:30" x14ac:dyDescent="0.25">
      <c r="H1977" t="s">
        <v>3803</v>
      </c>
    </row>
    <row r="1978" spans="1:30" x14ac:dyDescent="0.25">
      <c r="A1978">
        <v>986</v>
      </c>
      <c r="B1978">
        <v>1678</v>
      </c>
      <c r="C1978" t="s">
        <v>3804</v>
      </c>
      <c r="D1978" t="s">
        <v>135</v>
      </c>
      <c r="E1978" t="s">
        <v>2259</v>
      </c>
      <c r="F1978" t="s">
        <v>3805</v>
      </c>
      <c r="G1978" t="str">
        <f>"00318750"</f>
        <v>00318750</v>
      </c>
      <c r="H1978" t="s">
        <v>354</v>
      </c>
      <c r="I1978">
        <v>0</v>
      </c>
      <c r="J1978">
        <v>0</v>
      </c>
      <c r="K1978">
        <v>0</v>
      </c>
      <c r="L1978">
        <v>200</v>
      </c>
      <c r="M1978">
        <v>0</v>
      </c>
      <c r="N1978">
        <v>30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W1978">
        <v>0</v>
      </c>
      <c r="X1978">
        <v>0</v>
      </c>
      <c r="Z1978">
        <v>0</v>
      </c>
      <c r="AA1978">
        <v>0</v>
      </c>
      <c r="AB1978">
        <v>0</v>
      </c>
      <c r="AC1978">
        <v>0</v>
      </c>
      <c r="AD1978" t="s">
        <v>3806</v>
      </c>
    </row>
    <row r="1979" spans="1:30" x14ac:dyDescent="0.25">
      <c r="H1979" t="s">
        <v>3807</v>
      </c>
    </row>
    <row r="1980" spans="1:30" x14ac:dyDescent="0.25">
      <c r="A1980">
        <v>987</v>
      </c>
      <c r="B1980">
        <v>2327</v>
      </c>
      <c r="C1980" t="s">
        <v>3808</v>
      </c>
      <c r="D1980" t="s">
        <v>3809</v>
      </c>
      <c r="E1980" t="s">
        <v>135</v>
      </c>
      <c r="F1980" t="s">
        <v>3810</v>
      </c>
      <c r="G1980" t="str">
        <f>"00327277"</f>
        <v>00327277</v>
      </c>
      <c r="H1980" t="s">
        <v>3811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30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13</v>
      </c>
      <c r="W1980">
        <v>91</v>
      </c>
      <c r="X1980">
        <v>0</v>
      </c>
      <c r="Z1980">
        <v>0</v>
      </c>
      <c r="AA1980">
        <v>0</v>
      </c>
      <c r="AB1980">
        <v>0</v>
      </c>
      <c r="AC1980">
        <v>0</v>
      </c>
      <c r="AD1980" t="s">
        <v>3812</v>
      </c>
    </row>
    <row r="1981" spans="1:30" x14ac:dyDescent="0.25">
      <c r="H1981" t="s">
        <v>3303</v>
      </c>
    </row>
    <row r="1982" spans="1:30" x14ac:dyDescent="0.25">
      <c r="A1982">
        <v>988</v>
      </c>
      <c r="B1982">
        <v>3161</v>
      </c>
      <c r="C1982" t="s">
        <v>3813</v>
      </c>
      <c r="D1982" t="s">
        <v>59</v>
      </c>
      <c r="E1982" t="s">
        <v>52</v>
      </c>
      <c r="F1982" t="s">
        <v>3814</v>
      </c>
      <c r="G1982" t="str">
        <f>"00257554"</f>
        <v>00257554</v>
      </c>
      <c r="H1982" t="s">
        <v>957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30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18</v>
      </c>
      <c r="W1982">
        <v>126</v>
      </c>
      <c r="X1982">
        <v>0</v>
      </c>
      <c r="Z1982">
        <v>0</v>
      </c>
      <c r="AA1982">
        <v>0</v>
      </c>
      <c r="AB1982">
        <v>0</v>
      </c>
      <c r="AC1982">
        <v>0</v>
      </c>
      <c r="AD1982" t="s">
        <v>3815</v>
      </c>
    </row>
    <row r="1983" spans="1:30" x14ac:dyDescent="0.25">
      <c r="H1983" t="s">
        <v>3816</v>
      </c>
    </row>
    <row r="1984" spans="1:30" x14ac:dyDescent="0.25">
      <c r="A1984">
        <v>989</v>
      </c>
      <c r="B1984">
        <v>2845</v>
      </c>
      <c r="C1984" t="s">
        <v>1802</v>
      </c>
      <c r="D1984" t="s">
        <v>77</v>
      </c>
      <c r="E1984" t="s">
        <v>408</v>
      </c>
      <c r="F1984" t="s">
        <v>3817</v>
      </c>
      <c r="G1984" t="str">
        <f>"00108772"</f>
        <v>00108772</v>
      </c>
      <c r="H1984" t="s">
        <v>832</v>
      </c>
      <c r="I1984">
        <v>0</v>
      </c>
      <c r="J1984">
        <v>0</v>
      </c>
      <c r="K1984">
        <v>0</v>
      </c>
      <c r="L1984">
        <v>200</v>
      </c>
      <c r="M1984">
        <v>0</v>
      </c>
      <c r="N1984">
        <v>70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0</v>
      </c>
      <c r="W1984">
        <v>0</v>
      </c>
      <c r="X1984">
        <v>0</v>
      </c>
      <c r="Z1984">
        <v>0</v>
      </c>
      <c r="AA1984">
        <v>0</v>
      </c>
      <c r="AB1984">
        <v>0</v>
      </c>
      <c r="AC1984">
        <v>0</v>
      </c>
      <c r="AD1984" t="s">
        <v>3818</v>
      </c>
    </row>
    <row r="1985" spans="1:30" x14ac:dyDescent="0.25">
      <c r="H1985" t="s">
        <v>3102</v>
      </c>
    </row>
    <row r="1986" spans="1:30" x14ac:dyDescent="0.25">
      <c r="A1986">
        <v>990</v>
      </c>
      <c r="B1986">
        <v>3895</v>
      </c>
      <c r="C1986" t="s">
        <v>3819</v>
      </c>
      <c r="D1986" t="s">
        <v>14</v>
      </c>
      <c r="E1986" t="s">
        <v>1290</v>
      </c>
      <c r="F1986" t="s">
        <v>3820</v>
      </c>
      <c r="G1986" t="str">
        <f>"00313868"</f>
        <v>00313868</v>
      </c>
      <c r="H1986" t="s">
        <v>901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30</v>
      </c>
      <c r="O1986">
        <v>30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26</v>
      </c>
      <c r="W1986">
        <v>182</v>
      </c>
      <c r="X1986">
        <v>0</v>
      </c>
      <c r="Z1986">
        <v>0</v>
      </c>
      <c r="AA1986">
        <v>0</v>
      </c>
      <c r="AB1986">
        <v>0</v>
      </c>
      <c r="AC1986">
        <v>0</v>
      </c>
      <c r="AD1986" t="s">
        <v>3821</v>
      </c>
    </row>
    <row r="1987" spans="1:30" x14ac:dyDescent="0.25">
      <c r="H1987">
        <v>1085</v>
      </c>
    </row>
    <row r="1988" spans="1:30" x14ac:dyDescent="0.25">
      <c r="A1988">
        <v>991</v>
      </c>
      <c r="B1988">
        <v>1567</v>
      </c>
      <c r="C1988" t="s">
        <v>3822</v>
      </c>
      <c r="D1988" t="s">
        <v>14</v>
      </c>
      <c r="E1988" t="s">
        <v>2826</v>
      </c>
      <c r="F1988" t="s">
        <v>3823</v>
      </c>
      <c r="G1988" t="str">
        <f>"00319761"</f>
        <v>00319761</v>
      </c>
      <c r="H1988" t="s">
        <v>176</v>
      </c>
      <c r="I1988">
        <v>0</v>
      </c>
      <c r="J1988">
        <v>0</v>
      </c>
      <c r="K1988">
        <v>0</v>
      </c>
      <c r="L1988">
        <v>0</v>
      </c>
      <c r="M1988">
        <v>100</v>
      </c>
      <c r="N1988">
        <v>70</v>
      </c>
      <c r="O1988">
        <v>0</v>
      </c>
      <c r="P1988">
        <v>50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X1988">
        <v>0</v>
      </c>
      <c r="Z1988">
        <v>0</v>
      </c>
      <c r="AA1988">
        <v>0</v>
      </c>
      <c r="AB1988">
        <v>0</v>
      </c>
      <c r="AC1988">
        <v>0</v>
      </c>
      <c r="AD1988" t="s">
        <v>3824</v>
      </c>
    </row>
    <row r="1989" spans="1:30" x14ac:dyDescent="0.25">
      <c r="H1989" t="s">
        <v>3825</v>
      </c>
    </row>
    <row r="1990" spans="1:30" x14ac:dyDescent="0.25">
      <c r="A1990">
        <v>992</v>
      </c>
      <c r="B1990">
        <v>1099</v>
      </c>
      <c r="C1990" t="s">
        <v>3826</v>
      </c>
      <c r="D1990" t="s">
        <v>300</v>
      </c>
      <c r="E1990" t="s">
        <v>135</v>
      </c>
      <c r="F1990" t="s">
        <v>3827</v>
      </c>
      <c r="G1990" t="str">
        <f>"00270929"</f>
        <v>00270929</v>
      </c>
      <c r="H1990" t="s">
        <v>1742</v>
      </c>
      <c r="I1990">
        <v>0</v>
      </c>
      <c r="J1990">
        <v>0</v>
      </c>
      <c r="K1990">
        <v>0</v>
      </c>
      <c r="L1990">
        <v>0</v>
      </c>
      <c r="M1990">
        <v>100</v>
      </c>
      <c r="N1990">
        <v>70</v>
      </c>
      <c r="O1990">
        <v>0</v>
      </c>
      <c r="P1990">
        <v>0</v>
      </c>
      <c r="Q1990">
        <v>50</v>
      </c>
      <c r="R1990">
        <v>0</v>
      </c>
      <c r="S1990">
        <v>0</v>
      </c>
      <c r="T1990">
        <v>0</v>
      </c>
      <c r="U1990">
        <v>0</v>
      </c>
      <c r="V1990">
        <v>10</v>
      </c>
      <c r="W1990">
        <v>70</v>
      </c>
      <c r="X1990">
        <v>0</v>
      </c>
      <c r="Z1990">
        <v>1</v>
      </c>
      <c r="AA1990">
        <v>0</v>
      </c>
      <c r="AB1990">
        <v>0</v>
      </c>
      <c r="AC1990">
        <v>0</v>
      </c>
      <c r="AD1990" t="s">
        <v>3828</v>
      </c>
    </row>
    <row r="1991" spans="1:30" x14ac:dyDescent="0.25">
      <c r="H1991" t="s">
        <v>3131</v>
      </c>
    </row>
    <row r="1992" spans="1:30" x14ac:dyDescent="0.25">
      <c r="A1992">
        <v>993</v>
      </c>
      <c r="B1992">
        <v>1558</v>
      </c>
      <c r="C1992" t="s">
        <v>3829</v>
      </c>
      <c r="D1992" t="s">
        <v>77</v>
      </c>
      <c r="E1992" t="s">
        <v>83</v>
      </c>
      <c r="F1992" t="s">
        <v>3830</v>
      </c>
      <c r="G1992" t="str">
        <f>"00313789"</f>
        <v>00313789</v>
      </c>
      <c r="H1992">
        <v>781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30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28</v>
      </c>
      <c r="W1992">
        <v>196</v>
      </c>
      <c r="X1992">
        <v>0</v>
      </c>
      <c r="Z1992">
        <v>0</v>
      </c>
      <c r="AA1992">
        <v>0</v>
      </c>
      <c r="AB1992">
        <v>0</v>
      </c>
      <c r="AC1992">
        <v>0</v>
      </c>
      <c r="AD1992">
        <v>1007</v>
      </c>
    </row>
    <row r="1993" spans="1:30" x14ac:dyDescent="0.25">
      <c r="H1993" t="s">
        <v>217</v>
      </c>
    </row>
    <row r="1994" spans="1:30" x14ac:dyDescent="0.25">
      <c r="A1994">
        <v>994</v>
      </c>
      <c r="B1994">
        <v>3548</v>
      </c>
      <c r="C1994" t="s">
        <v>3831</v>
      </c>
      <c r="D1994" t="s">
        <v>142</v>
      </c>
      <c r="E1994" t="s">
        <v>59</v>
      </c>
      <c r="F1994" t="s">
        <v>3832</v>
      </c>
      <c r="G1994" t="str">
        <f>"201504005083"</f>
        <v>201504005083</v>
      </c>
      <c r="H1994">
        <v>550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70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55</v>
      </c>
      <c r="W1994">
        <v>385</v>
      </c>
      <c r="X1994">
        <v>0</v>
      </c>
      <c r="Z1994">
        <v>0</v>
      </c>
      <c r="AA1994">
        <v>0</v>
      </c>
      <c r="AB1994">
        <v>0</v>
      </c>
      <c r="AC1994">
        <v>0</v>
      </c>
      <c r="AD1994">
        <v>1005</v>
      </c>
    </row>
    <row r="1995" spans="1:30" x14ac:dyDescent="0.25">
      <c r="H1995" t="s">
        <v>3833</v>
      </c>
    </row>
    <row r="1996" spans="1:30" x14ac:dyDescent="0.25">
      <c r="A1996">
        <v>995</v>
      </c>
      <c r="B1996">
        <v>2366</v>
      </c>
      <c r="C1996" t="s">
        <v>3834</v>
      </c>
      <c r="D1996" t="s">
        <v>2317</v>
      </c>
      <c r="E1996" t="s">
        <v>135</v>
      </c>
      <c r="F1996" t="s">
        <v>3835</v>
      </c>
      <c r="G1996" t="str">
        <f>"00338374"</f>
        <v>00338374</v>
      </c>
      <c r="H1996" t="s">
        <v>1338</v>
      </c>
      <c r="I1996">
        <v>0</v>
      </c>
      <c r="J1996">
        <v>0</v>
      </c>
      <c r="K1996">
        <v>0</v>
      </c>
      <c r="L1996">
        <v>0</v>
      </c>
      <c r="M1996">
        <v>100</v>
      </c>
      <c r="N1996">
        <v>70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0</v>
      </c>
      <c r="W1996">
        <v>0</v>
      </c>
      <c r="X1996">
        <v>0</v>
      </c>
      <c r="Z1996">
        <v>1</v>
      </c>
      <c r="AA1996">
        <v>0</v>
      </c>
      <c r="AB1996">
        <v>0</v>
      </c>
      <c r="AC1996">
        <v>0</v>
      </c>
      <c r="AD1996" t="s">
        <v>3836</v>
      </c>
    </row>
    <row r="1997" spans="1:30" x14ac:dyDescent="0.25">
      <c r="H1997">
        <v>1081</v>
      </c>
    </row>
    <row r="1998" spans="1:30" x14ac:dyDescent="0.25">
      <c r="A1998">
        <v>996</v>
      </c>
      <c r="B1998">
        <v>5293</v>
      </c>
      <c r="C1998" t="s">
        <v>3837</v>
      </c>
      <c r="D1998" t="s">
        <v>333</v>
      </c>
      <c r="E1998" t="s">
        <v>408</v>
      </c>
      <c r="F1998" t="s">
        <v>3838</v>
      </c>
      <c r="G1998" t="str">
        <f>"00371217"</f>
        <v>00371217</v>
      </c>
      <c r="H1998">
        <v>660</v>
      </c>
      <c r="I1998">
        <v>0</v>
      </c>
      <c r="J1998">
        <v>0</v>
      </c>
      <c r="K1998">
        <v>0</v>
      </c>
      <c r="L1998">
        <v>200</v>
      </c>
      <c r="M1998">
        <v>0</v>
      </c>
      <c r="N1998">
        <v>70</v>
      </c>
      <c r="O1998">
        <v>0</v>
      </c>
      <c r="P1998">
        <v>70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0</v>
      </c>
      <c r="W1998">
        <v>0</v>
      </c>
      <c r="X1998">
        <v>0</v>
      </c>
      <c r="Z1998">
        <v>0</v>
      </c>
      <c r="AA1998">
        <v>0</v>
      </c>
      <c r="AB1998">
        <v>0</v>
      </c>
      <c r="AC1998">
        <v>0</v>
      </c>
      <c r="AD1998">
        <v>1000</v>
      </c>
    </row>
    <row r="1999" spans="1:30" x14ac:dyDescent="0.25">
      <c r="H1999" t="s">
        <v>3839</v>
      </c>
    </row>
    <row r="2000" spans="1:30" x14ac:dyDescent="0.25">
      <c r="A2000">
        <v>997</v>
      </c>
      <c r="B2000">
        <v>4814</v>
      </c>
      <c r="C2000" t="s">
        <v>1404</v>
      </c>
      <c r="D2000" t="s">
        <v>780</v>
      </c>
      <c r="E2000" t="s">
        <v>77</v>
      </c>
      <c r="F2000" t="s">
        <v>3840</v>
      </c>
      <c r="G2000" t="str">
        <f>"00316218"</f>
        <v>00316218</v>
      </c>
      <c r="H2000" t="s">
        <v>54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70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1</v>
      </c>
      <c r="W2000">
        <v>7</v>
      </c>
      <c r="X2000">
        <v>0</v>
      </c>
      <c r="Z2000">
        <v>0</v>
      </c>
      <c r="AA2000">
        <v>0</v>
      </c>
      <c r="AB2000">
        <v>8</v>
      </c>
      <c r="AC2000">
        <v>136</v>
      </c>
      <c r="AD2000" t="s">
        <v>3841</v>
      </c>
    </row>
    <row r="2001" spans="1:30" x14ac:dyDescent="0.25">
      <c r="H2001" t="s">
        <v>2696</v>
      </c>
    </row>
    <row r="2002" spans="1:30" x14ac:dyDescent="0.25">
      <c r="A2002">
        <v>998</v>
      </c>
      <c r="B2002">
        <v>1676</v>
      </c>
      <c r="C2002" t="s">
        <v>3842</v>
      </c>
      <c r="D2002" t="s">
        <v>3843</v>
      </c>
      <c r="E2002" t="s">
        <v>3844</v>
      </c>
      <c r="F2002" t="s">
        <v>3845</v>
      </c>
      <c r="G2002" t="str">
        <f>"00316407"</f>
        <v>00316407</v>
      </c>
      <c r="H2002">
        <v>836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50</v>
      </c>
      <c r="O2002">
        <v>50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4</v>
      </c>
      <c r="W2002">
        <v>28</v>
      </c>
      <c r="X2002">
        <v>0</v>
      </c>
      <c r="Z2002">
        <v>1</v>
      </c>
      <c r="AA2002">
        <v>0</v>
      </c>
      <c r="AB2002">
        <v>2</v>
      </c>
      <c r="AC2002">
        <v>34</v>
      </c>
      <c r="AD2002">
        <v>998</v>
      </c>
    </row>
    <row r="2003" spans="1:30" x14ac:dyDescent="0.25">
      <c r="H2003" t="s">
        <v>1696</v>
      </c>
    </row>
    <row r="2004" spans="1:30" x14ac:dyDescent="0.25">
      <c r="A2004">
        <v>999</v>
      </c>
      <c r="B2004">
        <v>4816</v>
      </c>
      <c r="C2004" t="s">
        <v>3846</v>
      </c>
      <c r="D2004" t="s">
        <v>539</v>
      </c>
      <c r="E2004" t="s">
        <v>77</v>
      </c>
      <c r="F2004" t="s">
        <v>3847</v>
      </c>
      <c r="G2004" t="str">
        <f>"201511009195"</f>
        <v>201511009195</v>
      </c>
      <c r="H2004" t="s">
        <v>761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70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25</v>
      </c>
      <c r="W2004">
        <v>175</v>
      </c>
      <c r="X2004">
        <v>0</v>
      </c>
      <c r="Z2004">
        <v>0</v>
      </c>
      <c r="AA2004">
        <v>0</v>
      </c>
      <c r="AB2004">
        <v>0</v>
      </c>
      <c r="AC2004">
        <v>0</v>
      </c>
      <c r="AD2004" t="s">
        <v>3848</v>
      </c>
    </row>
    <row r="2005" spans="1:30" x14ac:dyDescent="0.25">
      <c r="H2005" t="s">
        <v>3849</v>
      </c>
    </row>
    <row r="2006" spans="1:30" x14ac:dyDescent="0.25">
      <c r="A2006">
        <v>1000</v>
      </c>
      <c r="B2006">
        <v>1549</v>
      </c>
      <c r="C2006" t="s">
        <v>3850</v>
      </c>
      <c r="D2006" t="s">
        <v>193</v>
      </c>
      <c r="E2006" t="s">
        <v>77</v>
      </c>
      <c r="F2006" t="s">
        <v>3851</v>
      </c>
      <c r="G2006" t="str">
        <f>"00017435"</f>
        <v>00017435</v>
      </c>
      <c r="H2006" t="s">
        <v>17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70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22</v>
      </c>
      <c r="W2006">
        <v>154</v>
      </c>
      <c r="X2006">
        <v>0</v>
      </c>
      <c r="Z2006">
        <v>0</v>
      </c>
      <c r="AA2006">
        <v>0</v>
      </c>
      <c r="AB2006">
        <v>0</v>
      </c>
      <c r="AC2006">
        <v>0</v>
      </c>
      <c r="AD2006" t="s">
        <v>3852</v>
      </c>
    </row>
    <row r="2007" spans="1:30" x14ac:dyDescent="0.25">
      <c r="H2007" t="s">
        <v>3853</v>
      </c>
    </row>
    <row r="2008" spans="1:30" x14ac:dyDescent="0.25">
      <c r="A2008">
        <v>1001</v>
      </c>
      <c r="B2008">
        <v>2174</v>
      </c>
      <c r="C2008" t="s">
        <v>3854</v>
      </c>
      <c r="D2008" t="s">
        <v>1910</v>
      </c>
      <c r="E2008" t="s">
        <v>158</v>
      </c>
      <c r="F2008" t="s">
        <v>3855</v>
      </c>
      <c r="G2008" t="str">
        <f>"201512001647"</f>
        <v>201512001647</v>
      </c>
      <c r="H2008" t="s">
        <v>936</v>
      </c>
      <c r="I2008">
        <v>0</v>
      </c>
      <c r="J2008">
        <v>0</v>
      </c>
      <c r="K2008">
        <v>0</v>
      </c>
      <c r="L2008">
        <v>0</v>
      </c>
      <c r="M2008">
        <v>100</v>
      </c>
      <c r="N2008">
        <v>70</v>
      </c>
      <c r="O2008">
        <v>50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0</v>
      </c>
      <c r="W2008">
        <v>0</v>
      </c>
      <c r="X2008">
        <v>0</v>
      </c>
      <c r="Z2008">
        <v>0</v>
      </c>
      <c r="AA2008">
        <v>0</v>
      </c>
      <c r="AB2008">
        <v>0</v>
      </c>
      <c r="AC2008">
        <v>0</v>
      </c>
      <c r="AD2008" t="s">
        <v>3856</v>
      </c>
    </row>
    <row r="2009" spans="1:30" x14ac:dyDescent="0.25">
      <c r="H2009" t="s">
        <v>3857</v>
      </c>
    </row>
    <row r="2010" spans="1:30" x14ac:dyDescent="0.25">
      <c r="A2010">
        <v>1002</v>
      </c>
      <c r="B2010">
        <v>2739</v>
      </c>
      <c r="C2010" t="s">
        <v>3858</v>
      </c>
      <c r="D2010" t="s">
        <v>3859</v>
      </c>
      <c r="E2010" t="s">
        <v>28</v>
      </c>
      <c r="F2010" t="s">
        <v>3860</v>
      </c>
      <c r="G2010" t="str">
        <f>"00350918"</f>
        <v>00350918</v>
      </c>
      <c r="H2010" t="s">
        <v>3861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70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40</v>
      </c>
      <c r="W2010">
        <v>280</v>
      </c>
      <c r="X2010">
        <v>0</v>
      </c>
      <c r="Z2010">
        <v>0</v>
      </c>
      <c r="AA2010">
        <v>0</v>
      </c>
      <c r="AB2010">
        <v>0</v>
      </c>
      <c r="AC2010">
        <v>0</v>
      </c>
      <c r="AD2010" t="s">
        <v>3862</v>
      </c>
    </row>
    <row r="2011" spans="1:30" x14ac:dyDescent="0.25">
      <c r="H2011" t="s">
        <v>3863</v>
      </c>
    </row>
    <row r="2012" spans="1:30" x14ac:dyDescent="0.25">
      <c r="A2012">
        <v>1003</v>
      </c>
      <c r="B2012">
        <v>4927</v>
      </c>
      <c r="C2012" t="s">
        <v>3467</v>
      </c>
      <c r="D2012" t="s">
        <v>77</v>
      </c>
      <c r="E2012" t="s">
        <v>3864</v>
      </c>
      <c r="F2012" t="s">
        <v>3865</v>
      </c>
      <c r="G2012" t="str">
        <f>"00192913"</f>
        <v>00192913</v>
      </c>
      <c r="H2012" t="s">
        <v>1011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50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0</v>
      </c>
      <c r="W2012">
        <v>0</v>
      </c>
      <c r="X2012">
        <v>0</v>
      </c>
      <c r="Z2012">
        <v>0</v>
      </c>
      <c r="AA2012">
        <v>0</v>
      </c>
      <c r="AB2012">
        <v>0</v>
      </c>
      <c r="AC2012">
        <v>0</v>
      </c>
      <c r="AD2012" t="s">
        <v>3866</v>
      </c>
    </row>
    <row r="2013" spans="1:30" x14ac:dyDescent="0.25">
      <c r="H2013" t="s">
        <v>3867</v>
      </c>
    </row>
    <row r="2014" spans="1:30" x14ac:dyDescent="0.25">
      <c r="A2014">
        <v>1004</v>
      </c>
      <c r="B2014">
        <v>2634</v>
      </c>
      <c r="C2014" t="s">
        <v>3868</v>
      </c>
      <c r="D2014" t="s">
        <v>164</v>
      </c>
      <c r="E2014" t="s">
        <v>42</v>
      </c>
      <c r="F2014" t="s">
        <v>3869</v>
      </c>
      <c r="G2014" t="str">
        <f>"00192869"</f>
        <v>00192869</v>
      </c>
      <c r="H2014" t="s">
        <v>2247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70</v>
      </c>
      <c r="O2014">
        <v>30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5</v>
      </c>
      <c r="W2014">
        <v>35</v>
      </c>
      <c r="X2014">
        <v>0</v>
      </c>
      <c r="Z2014">
        <v>0</v>
      </c>
      <c r="AA2014">
        <v>0</v>
      </c>
      <c r="AB2014">
        <v>8</v>
      </c>
      <c r="AC2014">
        <v>136</v>
      </c>
      <c r="AD2014" t="s">
        <v>3870</v>
      </c>
    </row>
    <row r="2015" spans="1:30" x14ac:dyDescent="0.25">
      <c r="H2015" t="s">
        <v>3871</v>
      </c>
    </row>
    <row r="2016" spans="1:30" x14ac:dyDescent="0.25">
      <c r="A2016">
        <v>1005</v>
      </c>
      <c r="B2016">
        <v>2466</v>
      </c>
      <c r="C2016" t="s">
        <v>3872</v>
      </c>
      <c r="D2016" t="s">
        <v>3873</v>
      </c>
      <c r="E2016" t="s">
        <v>311</v>
      </c>
      <c r="F2016" t="s">
        <v>3874</v>
      </c>
      <c r="G2016" t="str">
        <f>"00369286"</f>
        <v>00369286</v>
      </c>
      <c r="H2016" t="s">
        <v>790</v>
      </c>
      <c r="I2016">
        <v>0</v>
      </c>
      <c r="J2016">
        <v>0</v>
      </c>
      <c r="K2016">
        <v>0</v>
      </c>
      <c r="L2016">
        <v>200</v>
      </c>
      <c r="M2016">
        <v>0</v>
      </c>
      <c r="N2016">
        <v>30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0</v>
      </c>
      <c r="W2016">
        <v>0</v>
      </c>
      <c r="X2016">
        <v>0</v>
      </c>
      <c r="Z2016">
        <v>0</v>
      </c>
      <c r="AA2016">
        <v>0</v>
      </c>
      <c r="AB2016">
        <v>0</v>
      </c>
      <c r="AC2016">
        <v>0</v>
      </c>
      <c r="AD2016" t="s">
        <v>3875</v>
      </c>
    </row>
    <row r="2017" spans="1:30" x14ac:dyDescent="0.25">
      <c r="H2017" t="s">
        <v>3876</v>
      </c>
    </row>
    <row r="2018" spans="1:30" x14ac:dyDescent="0.25">
      <c r="A2018">
        <v>1006</v>
      </c>
      <c r="B2018">
        <v>278</v>
      </c>
      <c r="C2018" t="s">
        <v>292</v>
      </c>
      <c r="D2018" t="s">
        <v>539</v>
      </c>
      <c r="E2018" t="s">
        <v>136</v>
      </c>
      <c r="F2018" t="s">
        <v>3877</v>
      </c>
      <c r="G2018" t="str">
        <f>"00145349"</f>
        <v>00145349</v>
      </c>
      <c r="H2018">
        <v>660</v>
      </c>
      <c r="I2018">
        <v>150</v>
      </c>
      <c r="J2018">
        <v>0</v>
      </c>
      <c r="K2018">
        <v>0</v>
      </c>
      <c r="L2018">
        <v>0</v>
      </c>
      <c r="M2018">
        <v>0</v>
      </c>
      <c r="N2018">
        <v>30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19</v>
      </c>
      <c r="W2018">
        <v>133</v>
      </c>
      <c r="X2018">
        <v>0</v>
      </c>
      <c r="Z2018">
        <v>0</v>
      </c>
      <c r="AA2018">
        <v>0</v>
      </c>
      <c r="AB2018">
        <v>0</v>
      </c>
      <c r="AC2018">
        <v>0</v>
      </c>
      <c r="AD2018">
        <v>973</v>
      </c>
    </row>
    <row r="2019" spans="1:30" x14ac:dyDescent="0.25">
      <c r="H2019" t="s">
        <v>3878</v>
      </c>
    </row>
    <row r="2020" spans="1:30" x14ac:dyDescent="0.25">
      <c r="A2020">
        <v>1007</v>
      </c>
      <c r="B2020">
        <v>960</v>
      </c>
      <c r="C2020" t="s">
        <v>3879</v>
      </c>
      <c r="D2020" t="s">
        <v>42</v>
      </c>
      <c r="E2020" t="s">
        <v>77</v>
      </c>
      <c r="F2020" t="s">
        <v>3880</v>
      </c>
      <c r="G2020" t="str">
        <f>"201504002627"</f>
        <v>201504002627</v>
      </c>
      <c r="H2020" t="s">
        <v>2301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30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36</v>
      </c>
      <c r="W2020">
        <v>252</v>
      </c>
      <c r="X2020">
        <v>0</v>
      </c>
      <c r="Z2020">
        <v>0</v>
      </c>
      <c r="AA2020">
        <v>0</v>
      </c>
      <c r="AB2020">
        <v>0</v>
      </c>
      <c r="AC2020">
        <v>0</v>
      </c>
      <c r="AD2020" t="s">
        <v>3881</v>
      </c>
    </row>
    <row r="2021" spans="1:30" x14ac:dyDescent="0.25">
      <c r="H2021" t="s">
        <v>3882</v>
      </c>
    </row>
    <row r="2022" spans="1:30" x14ac:dyDescent="0.25">
      <c r="A2022">
        <v>1008</v>
      </c>
      <c r="B2022">
        <v>3105</v>
      </c>
      <c r="C2022" t="s">
        <v>3883</v>
      </c>
      <c r="D2022" t="s">
        <v>3884</v>
      </c>
      <c r="E2022" t="s">
        <v>3885</v>
      </c>
      <c r="F2022" t="s">
        <v>3886</v>
      </c>
      <c r="G2022" t="str">
        <f>"00250992"</f>
        <v>00250992</v>
      </c>
      <c r="H2022" t="s">
        <v>215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70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12</v>
      </c>
      <c r="W2022">
        <v>84</v>
      </c>
      <c r="X2022">
        <v>0</v>
      </c>
      <c r="Z2022">
        <v>0</v>
      </c>
      <c r="AA2022">
        <v>0</v>
      </c>
      <c r="AB2022">
        <v>0</v>
      </c>
      <c r="AC2022">
        <v>0</v>
      </c>
      <c r="AD2022" t="s">
        <v>3887</v>
      </c>
    </row>
    <row r="2023" spans="1:30" x14ac:dyDescent="0.25">
      <c r="H2023" t="s">
        <v>3131</v>
      </c>
    </row>
    <row r="2024" spans="1:30" x14ac:dyDescent="0.25">
      <c r="A2024">
        <v>1009</v>
      </c>
      <c r="B2024">
        <v>412</v>
      </c>
      <c r="C2024" t="s">
        <v>3888</v>
      </c>
      <c r="D2024" t="s">
        <v>28</v>
      </c>
      <c r="E2024" t="s">
        <v>77</v>
      </c>
      <c r="F2024" t="s">
        <v>3889</v>
      </c>
      <c r="G2024" t="str">
        <f>"00298331"</f>
        <v>00298331</v>
      </c>
      <c r="H2024" t="s">
        <v>54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70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16</v>
      </c>
      <c r="W2024">
        <v>112</v>
      </c>
      <c r="X2024">
        <v>0</v>
      </c>
      <c r="Z2024">
        <v>0</v>
      </c>
      <c r="AA2024">
        <v>0</v>
      </c>
      <c r="AB2024">
        <v>0</v>
      </c>
      <c r="AC2024">
        <v>0</v>
      </c>
      <c r="AD2024" t="s">
        <v>3890</v>
      </c>
    </row>
    <row r="2025" spans="1:30" x14ac:dyDescent="0.25">
      <c r="H2025" t="s">
        <v>3891</v>
      </c>
    </row>
    <row r="2026" spans="1:30" x14ac:dyDescent="0.25">
      <c r="A2026">
        <v>1010</v>
      </c>
      <c r="B2026">
        <v>2657</v>
      </c>
      <c r="C2026" t="s">
        <v>3892</v>
      </c>
      <c r="D2026" t="s">
        <v>3247</v>
      </c>
      <c r="E2026" t="s">
        <v>59</v>
      </c>
      <c r="F2026" t="s">
        <v>3893</v>
      </c>
      <c r="G2026" t="str">
        <f>"00368862"</f>
        <v>00368862</v>
      </c>
      <c r="H2026" t="s">
        <v>329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30</v>
      </c>
      <c r="O2026">
        <v>0</v>
      </c>
      <c r="P2026">
        <v>50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16</v>
      </c>
      <c r="W2026">
        <v>112</v>
      </c>
      <c r="X2026">
        <v>0</v>
      </c>
      <c r="Z2026">
        <v>1</v>
      </c>
      <c r="AA2026">
        <v>0</v>
      </c>
      <c r="AB2026">
        <v>0</v>
      </c>
      <c r="AC2026">
        <v>0</v>
      </c>
      <c r="AD2026" t="s">
        <v>3894</v>
      </c>
    </row>
    <row r="2027" spans="1:30" x14ac:dyDescent="0.25">
      <c r="H2027" t="s">
        <v>3895</v>
      </c>
    </row>
    <row r="2028" spans="1:30" x14ac:dyDescent="0.25">
      <c r="A2028">
        <v>1011</v>
      </c>
      <c r="B2028">
        <v>2844</v>
      </c>
      <c r="C2028" t="s">
        <v>3896</v>
      </c>
      <c r="D2028" t="s">
        <v>135</v>
      </c>
      <c r="E2028" t="s">
        <v>28</v>
      </c>
      <c r="F2028" t="s">
        <v>3897</v>
      </c>
      <c r="G2028" t="str">
        <f>"00357073"</f>
        <v>00357073</v>
      </c>
      <c r="H2028" t="s">
        <v>313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70</v>
      </c>
      <c r="O2028">
        <v>0</v>
      </c>
      <c r="P2028">
        <v>30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0</v>
      </c>
      <c r="W2028">
        <v>0</v>
      </c>
      <c r="X2028">
        <v>0</v>
      </c>
      <c r="Z2028">
        <v>0</v>
      </c>
      <c r="AA2028">
        <v>0</v>
      </c>
      <c r="AB2028">
        <v>0</v>
      </c>
      <c r="AC2028">
        <v>0</v>
      </c>
      <c r="AD2028" t="s">
        <v>3898</v>
      </c>
    </row>
    <row r="2029" spans="1:30" x14ac:dyDescent="0.25">
      <c r="H2029">
        <v>1072</v>
      </c>
    </row>
    <row r="2030" spans="1:30" x14ac:dyDescent="0.25">
      <c r="A2030">
        <v>1012</v>
      </c>
      <c r="B2030">
        <v>1708</v>
      </c>
      <c r="C2030" t="s">
        <v>3899</v>
      </c>
      <c r="D2030" t="s">
        <v>294</v>
      </c>
      <c r="E2030" t="s">
        <v>15</v>
      </c>
      <c r="F2030" t="s">
        <v>3900</v>
      </c>
      <c r="G2030" t="str">
        <f>"00141953"</f>
        <v>00141953</v>
      </c>
      <c r="H2030" t="s">
        <v>891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70</v>
      </c>
      <c r="O2030">
        <v>30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20</v>
      </c>
      <c r="W2030">
        <v>140</v>
      </c>
      <c r="X2030">
        <v>0</v>
      </c>
      <c r="Z2030">
        <v>0</v>
      </c>
      <c r="AA2030">
        <v>0</v>
      </c>
      <c r="AB2030">
        <v>0</v>
      </c>
      <c r="AC2030">
        <v>0</v>
      </c>
      <c r="AD2030" t="s">
        <v>3901</v>
      </c>
    </row>
    <row r="2031" spans="1:30" x14ac:dyDescent="0.25">
      <c r="H2031" t="s">
        <v>32</v>
      </c>
    </row>
    <row r="2032" spans="1:30" x14ac:dyDescent="0.25">
      <c r="A2032">
        <v>1013</v>
      </c>
      <c r="B2032">
        <v>3656</v>
      </c>
      <c r="C2032" t="s">
        <v>3902</v>
      </c>
      <c r="D2032" t="s">
        <v>272</v>
      </c>
      <c r="E2032" t="s">
        <v>77</v>
      </c>
      <c r="F2032" t="s">
        <v>3903</v>
      </c>
      <c r="G2032" t="str">
        <f>"00358160"</f>
        <v>00358160</v>
      </c>
      <c r="H2032">
        <v>704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30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32</v>
      </c>
      <c r="W2032">
        <v>224</v>
      </c>
      <c r="X2032">
        <v>0</v>
      </c>
      <c r="Z2032">
        <v>0</v>
      </c>
      <c r="AA2032">
        <v>0</v>
      </c>
      <c r="AB2032">
        <v>0</v>
      </c>
      <c r="AC2032">
        <v>0</v>
      </c>
      <c r="AD2032">
        <v>958</v>
      </c>
    </row>
    <row r="2033" spans="1:30" x14ac:dyDescent="0.25">
      <c r="H2033" t="s">
        <v>3904</v>
      </c>
    </row>
    <row r="2034" spans="1:30" x14ac:dyDescent="0.25">
      <c r="A2034">
        <v>1014</v>
      </c>
      <c r="B2034">
        <v>790</v>
      </c>
      <c r="C2034" t="s">
        <v>3905</v>
      </c>
      <c r="D2034" t="s">
        <v>3906</v>
      </c>
      <c r="E2034" t="s">
        <v>506</v>
      </c>
      <c r="F2034" t="s">
        <v>3907</v>
      </c>
      <c r="G2034" t="str">
        <f>"00298562"</f>
        <v>00298562</v>
      </c>
      <c r="H2034" t="s">
        <v>2291</v>
      </c>
      <c r="I2034">
        <v>0</v>
      </c>
      <c r="J2034">
        <v>0</v>
      </c>
      <c r="K2034">
        <v>0</v>
      </c>
      <c r="L2034">
        <v>0</v>
      </c>
      <c r="M2034">
        <v>100</v>
      </c>
      <c r="N2034">
        <v>70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12</v>
      </c>
      <c r="W2034">
        <v>84</v>
      </c>
      <c r="X2034">
        <v>0</v>
      </c>
      <c r="Z2034">
        <v>0</v>
      </c>
      <c r="AA2034">
        <v>0</v>
      </c>
      <c r="AB2034">
        <v>0</v>
      </c>
      <c r="AC2034">
        <v>0</v>
      </c>
      <c r="AD2034" t="s">
        <v>3908</v>
      </c>
    </row>
    <row r="2035" spans="1:30" x14ac:dyDescent="0.25">
      <c r="H2035" t="s">
        <v>3909</v>
      </c>
    </row>
    <row r="2036" spans="1:30" x14ac:dyDescent="0.25">
      <c r="A2036">
        <v>1015</v>
      </c>
      <c r="B2036">
        <v>2521</v>
      </c>
      <c r="C2036" t="s">
        <v>3910</v>
      </c>
      <c r="D2036" t="s">
        <v>213</v>
      </c>
      <c r="E2036" t="s">
        <v>59</v>
      </c>
      <c r="F2036" t="s">
        <v>3911</v>
      </c>
      <c r="G2036" t="str">
        <f>"00365480"</f>
        <v>00365480</v>
      </c>
      <c r="H2036" t="s">
        <v>344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30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W2036">
        <v>0</v>
      </c>
      <c r="X2036">
        <v>0</v>
      </c>
      <c r="Z2036">
        <v>0</v>
      </c>
      <c r="AA2036">
        <v>0</v>
      </c>
      <c r="AB2036">
        <v>6</v>
      </c>
      <c r="AC2036">
        <v>102</v>
      </c>
      <c r="AD2036" t="s">
        <v>3912</v>
      </c>
    </row>
    <row r="2037" spans="1:30" x14ac:dyDescent="0.25">
      <c r="H2037" t="s">
        <v>3913</v>
      </c>
    </row>
    <row r="2038" spans="1:30" x14ac:dyDescent="0.25">
      <c r="A2038">
        <v>1016</v>
      </c>
      <c r="B2038">
        <v>2045</v>
      </c>
      <c r="C2038" t="s">
        <v>3914</v>
      </c>
      <c r="D2038" t="s">
        <v>1863</v>
      </c>
      <c r="E2038" t="s">
        <v>317</v>
      </c>
      <c r="F2038" t="s">
        <v>3915</v>
      </c>
      <c r="G2038" t="str">
        <f>"00017672"</f>
        <v>00017672</v>
      </c>
      <c r="H2038" t="s">
        <v>1146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70</v>
      </c>
      <c r="O2038">
        <v>50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0</v>
      </c>
      <c r="W2038">
        <v>0</v>
      </c>
      <c r="X2038">
        <v>0</v>
      </c>
      <c r="Z2038">
        <v>0</v>
      </c>
      <c r="AA2038">
        <v>0</v>
      </c>
      <c r="AB2038">
        <v>8</v>
      </c>
      <c r="AC2038">
        <v>136</v>
      </c>
      <c r="AD2038" t="s">
        <v>3916</v>
      </c>
    </row>
    <row r="2039" spans="1:30" x14ac:dyDescent="0.25">
      <c r="H2039" t="s">
        <v>3917</v>
      </c>
    </row>
    <row r="2040" spans="1:30" x14ac:dyDescent="0.25">
      <c r="A2040">
        <v>1017</v>
      </c>
      <c r="B2040">
        <v>1734</v>
      </c>
      <c r="C2040" t="s">
        <v>3918</v>
      </c>
      <c r="D2040" t="s">
        <v>294</v>
      </c>
      <c r="E2040" t="s">
        <v>136</v>
      </c>
      <c r="F2040" t="s">
        <v>3919</v>
      </c>
      <c r="G2040" t="str">
        <f>"00277562"</f>
        <v>00277562</v>
      </c>
      <c r="H2040" t="s">
        <v>54</v>
      </c>
      <c r="I2040">
        <v>0</v>
      </c>
      <c r="J2040">
        <v>0</v>
      </c>
      <c r="K2040">
        <v>0</v>
      </c>
      <c r="L2040">
        <v>0</v>
      </c>
      <c r="M2040">
        <v>100</v>
      </c>
      <c r="N2040">
        <v>50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2</v>
      </c>
      <c r="W2040">
        <v>14</v>
      </c>
      <c r="X2040">
        <v>0</v>
      </c>
      <c r="Z2040">
        <v>0</v>
      </c>
      <c r="AA2040">
        <v>0</v>
      </c>
      <c r="AB2040">
        <v>0</v>
      </c>
      <c r="AC2040">
        <v>0</v>
      </c>
      <c r="AD2040" t="s">
        <v>3920</v>
      </c>
    </row>
    <row r="2041" spans="1:30" x14ac:dyDescent="0.25">
      <c r="H2041" t="s">
        <v>3921</v>
      </c>
    </row>
    <row r="2042" spans="1:30" x14ac:dyDescent="0.25">
      <c r="A2042">
        <v>1018</v>
      </c>
      <c r="B2042">
        <v>4823</v>
      </c>
      <c r="C2042" t="s">
        <v>3922</v>
      </c>
      <c r="D2042" t="s">
        <v>89</v>
      </c>
      <c r="E2042" t="s">
        <v>28</v>
      </c>
      <c r="F2042" t="s">
        <v>3923</v>
      </c>
      <c r="G2042" t="str">
        <f>"201406000299"</f>
        <v>201406000299</v>
      </c>
      <c r="H2042" t="s">
        <v>871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70</v>
      </c>
      <c r="O2042">
        <v>0</v>
      </c>
      <c r="P2042">
        <v>0</v>
      </c>
      <c r="Q2042">
        <v>0</v>
      </c>
      <c r="R2042">
        <v>50</v>
      </c>
      <c r="S2042">
        <v>0</v>
      </c>
      <c r="T2042">
        <v>0</v>
      </c>
      <c r="U2042">
        <v>0</v>
      </c>
      <c r="V2042">
        <v>-13</v>
      </c>
      <c r="W2042">
        <v>-91</v>
      </c>
      <c r="X2042">
        <v>0</v>
      </c>
      <c r="Z2042">
        <v>0</v>
      </c>
      <c r="AA2042">
        <v>0</v>
      </c>
      <c r="AB2042">
        <v>13</v>
      </c>
      <c r="AC2042">
        <v>221</v>
      </c>
      <c r="AD2042" t="s">
        <v>3924</v>
      </c>
    </row>
    <row r="2043" spans="1:30" x14ac:dyDescent="0.25">
      <c r="H2043">
        <v>1078</v>
      </c>
    </row>
    <row r="2044" spans="1:30" x14ac:dyDescent="0.25">
      <c r="A2044">
        <v>1019</v>
      </c>
      <c r="B2044">
        <v>1922</v>
      </c>
      <c r="C2044" t="s">
        <v>3925</v>
      </c>
      <c r="D2044" t="s">
        <v>59</v>
      </c>
      <c r="E2044" t="s">
        <v>1130</v>
      </c>
      <c r="F2044" t="s">
        <v>3926</v>
      </c>
      <c r="G2044" t="str">
        <f>"201507000573"</f>
        <v>201507000573</v>
      </c>
      <c r="H2044" t="s">
        <v>3269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50</v>
      </c>
      <c r="O2044">
        <v>0</v>
      </c>
      <c r="P2044">
        <v>50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W2044">
        <v>0</v>
      </c>
      <c r="X2044">
        <v>0</v>
      </c>
      <c r="Z2044">
        <v>0</v>
      </c>
      <c r="AA2044">
        <v>0</v>
      </c>
      <c r="AB2044">
        <v>12</v>
      </c>
      <c r="AC2044">
        <v>204</v>
      </c>
      <c r="AD2044" t="s">
        <v>3927</v>
      </c>
    </row>
    <row r="2045" spans="1:30" x14ac:dyDescent="0.25">
      <c r="H2045" t="s">
        <v>3928</v>
      </c>
    </row>
    <row r="2046" spans="1:30" x14ac:dyDescent="0.25">
      <c r="A2046">
        <v>1020</v>
      </c>
      <c r="B2046">
        <v>323</v>
      </c>
      <c r="C2046" t="s">
        <v>3929</v>
      </c>
      <c r="D2046" t="s">
        <v>3930</v>
      </c>
      <c r="E2046" t="s">
        <v>77</v>
      </c>
      <c r="F2046" t="s">
        <v>3931</v>
      </c>
      <c r="G2046" t="str">
        <f>"201511021363"</f>
        <v>201511021363</v>
      </c>
      <c r="H2046">
        <v>781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70</v>
      </c>
      <c r="O2046">
        <v>0</v>
      </c>
      <c r="P2046">
        <v>30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8</v>
      </c>
      <c r="W2046">
        <v>56</v>
      </c>
      <c r="X2046">
        <v>0</v>
      </c>
      <c r="Z2046">
        <v>0</v>
      </c>
      <c r="AA2046">
        <v>0</v>
      </c>
      <c r="AB2046">
        <v>0</v>
      </c>
      <c r="AC2046">
        <v>0</v>
      </c>
      <c r="AD2046">
        <v>937</v>
      </c>
    </row>
    <row r="2047" spans="1:30" x14ac:dyDescent="0.25">
      <c r="H2047" t="s">
        <v>1273</v>
      </c>
    </row>
    <row r="2048" spans="1:30" x14ac:dyDescent="0.25">
      <c r="A2048">
        <v>1021</v>
      </c>
      <c r="B2048">
        <v>4193</v>
      </c>
      <c r="C2048" t="s">
        <v>3932</v>
      </c>
      <c r="D2048" t="s">
        <v>3933</v>
      </c>
      <c r="E2048" t="s">
        <v>135</v>
      </c>
      <c r="F2048" t="s">
        <v>3934</v>
      </c>
      <c r="G2048" t="str">
        <f>"00332697"</f>
        <v>00332697</v>
      </c>
      <c r="H2048" t="s">
        <v>723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30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24</v>
      </c>
      <c r="W2048">
        <v>168</v>
      </c>
      <c r="X2048">
        <v>0</v>
      </c>
      <c r="Z2048">
        <v>0</v>
      </c>
      <c r="AA2048">
        <v>0</v>
      </c>
      <c r="AB2048">
        <v>0</v>
      </c>
      <c r="AC2048">
        <v>0</v>
      </c>
      <c r="AD2048" t="s">
        <v>260</v>
      </c>
    </row>
    <row r="2049" spans="1:30" x14ac:dyDescent="0.25">
      <c r="H2049" t="s">
        <v>3935</v>
      </c>
    </row>
    <row r="2050" spans="1:30" x14ac:dyDescent="0.25">
      <c r="A2050">
        <v>1022</v>
      </c>
      <c r="B2050">
        <v>5320</v>
      </c>
      <c r="C2050" t="s">
        <v>3936</v>
      </c>
      <c r="D2050" t="s">
        <v>3937</v>
      </c>
      <c r="E2050" t="s">
        <v>3938</v>
      </c>
      <c r="F2050" t="s">
        <v>3939</v>
      </c>
      <c r="G2050" t="str">
        <f>"00359715"</f>
        <v>00359715</v>
      </c>
      <c r="H2050" t="s">
        <v>980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30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70</v>
      </c>
      <c r="U2050">
        <v>0</v>
      </c>
      <c r="V2050">
        <v>0</v>
      </c>
      <c r="W2050">
        <v>0</v>
      </c>
      <c r="X2050">
        <v>0</v>
      </c>
      <c r="Z2050">
        <v>0</v>
      </c>
      <c r="AA2050">
        <v>0</v>
      </c>
      <c r="AB2050">
        <v>0</v>
      </c>
      <c r="AC2050">
        <v>0</v>
      </c>
      <c r="AD2050" t="s">
        <v>3940</v>
      </c>
    </row>
    <row r="2051" spans="1:30" x14ac:dyDescent="0.25">
      <c r="H2051" t="s">
        <v>1042</v>
      </c>
    </row>
    <row r="2052" spans="1:30" x14ac:dyDescent="0.25">
      <c r="A2052">
        <v>1023</v>
      </c>
      <c r="B2052">
        <v>3610</v>
      </c>
      <c r="C2052" t="s">
        <v>3941</v>
      </c>
      <c r="D2052" t="s">
        <v>3569</v>
      </c>
      <c r="E2052" t="s">
        <v>840</v>
      </c>
      <c r="F2052" t="s">
        <v>3942</v>
      </c>
      <c r="G2052" t="str">
        <f>"00361054"</f>
        <v>00361054</v>
      </c>
      <c r="H2052" t="s">
        <v>414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70</v>
      </c>
      <c r="O2052">
        <v>70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0</v>
      </c>
      <c r="W2052">
        <v>0</v>
      </c>
      <c r="X2052">
        <v>0</v>
      </c>
      <c r="Z2052">
        <v>0</v>
      </c>
      <c r="AA2052">
        <v>0</v>
      </c>
      <c r="AB2052">
        <v>0</v>
      </c>
      <c r="AC2052">
        <v>0</v>
      </c>
      <c r="AD2052" t="s">
        <v>3943</v>
      </c>
    </row>
    <row r="2053" spans="1:30" x14ac:dyDescent="0.25">
      <c r="H2053" t="s">
        <v>3944</v>
      </c>
    </row>
    <row r="2054" spans="1:30" x14ac:dyDescent="0.25">
      <c r="A2054">
        <v>1024</v>
      </c>
      <c r="B2054">
        <v>1529</v>
      </c>
      <c r="C2054" t="s">
        <v>3757</v>
      </c>
      <c r="D2054" t="s">
        <v>15</v>
      </c>
      <c r="E2054" t="s">
        <v>702</v>
      </c>
      <c r="F2054" t="s">
        <v>3758</v>
      </c>
      <c r="G2054" t="str">
        <f>"200712001181"</f>
        <v>200712001181</v>
      </c>
      <c r="H2054">
        <v>825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30</v>
      </c>
      <c r="O2054">
        <v>70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W2054">
        <v>0</v>
      </c>
      <c r="X2054">
        <v>0</v>
      </c>
      <c r="Z2054">
        <v>0</v>
      </c>
      <c r="AA2054">
        <v>0</v>
      </c>
      <c r="AB2054">
        <v>0</v>
      </c>
      <c r="AC2054">
        <v>0</v>
      </c>
      <c r="AD2054">
        <v>925</v>
      </c>
    </row>
    <row r="2055" spans="1:30" x14ac:dyDescent="0.25">
      <c r="H2055" t="s">
        <v>3759</v>
      </c>
    </row>
    <row r="2056" spans="1:30" x14ac:dyDescent="0.25">
      <c r="A2056">
        <v>1025</v>
      </c>
      <c r="B2056">
        <v>465</v>
      </c>
      <c r="C2056" t="s">
        <v>3945</v>
      </c>
      <c r="D2056" t="s">
        <v>59</v>
      </c>
      <c r="E2056" t="s">
        <v>3946</v>
      </c>
      <c r="F2056" t="s">
        <v>3947</v>
      </c>
      <c r="G2056" t="str">
        <f>"00285107"</f>
        <v>00285107</v>
      </c>
      <c r="H2056" t="s">
        <v>160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70</v>
      </c>
      <c r="O2056">
        <v>0</v>
      </c>
      <c r="P2056">
        <v>30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0</v>
      </c>
      <c r="W2056">
        <v>0</v>
      </c>
      <c r="X2056">
        <v>0</v>
      </c>
      <c r="Z2056">
        <v>0</v>
      </c>
      <c r="AA2056">
        <v>0</v>
      </c>
      <c r="AB2056">
        <v>0</v>
      </c>
      <c r="AC2056">
        <v>0</v>
      </c>
      <c r="AD2056" t="s">
        <v>3948</v>
      </c>
    </row>
    <row r="2057" spans="1:30" x14ac:dyDescent="0.25">
      <c r="H2057" t="s">
        <v>3949</v>
      </c>
    </row>
    <row r="2058" spans="1:30" x14ac:dyDescent="0.25">
      <c r="A2058">
        <v>1026</v>
      </c>
      <c r="B2058">
        <v>4726</v>
      </c>
      <c r="C2058" t="s">
        <v>3950</v>
      </c>
      <c r="D2058" t="s">
        <v>293</v>
      </c>
      <c r="E2058" t="s">
        <v>28</v>
      </c>
      <c r="F2058" t="s">
        <v>3951</v>
      </c>
      <c r="G2058" t="str">
        <f>"201511034403"</f>
        <v>201511034403</v>
      </c>
      <c r="H2058">
        <v>803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70</v>
      </c>
      <c r="O2058">
        <v>30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W2058">
        <v>0</v>
      </c>
      <c r="X2058">
        <v>0</v>
      </c>
      <c r="Z2058">
        <v>0</v>
      </c>
      <c r="AA2058">
        <v>0</v>
      </c>
      <c r="AB2058">
        <v>0</v>
      </c>
      <c r="AC2058">
        <v>0</v>
      </c>
      <c r="AD2058">
        <v>903</v>
      </c>
    </row>
    <row r="2059" spans="1:30" x14ac:dyDescent="0.25">
      <c r="H2059" t="s">
        <v>3952</v>
      </c>
    </row>
    <row r="2060" spans="1:30" x14ac:dyDescent="0.25">
      <c r="A2060">
        <v>1027</v>
      </c>
      <c r="B2060">
        <v>4904</v>
      </c>
      <c r="C2060" t="s">
        <v>3953</v>
      </c>
      <c r="D2060" t="s">
        <v>108</v>
      </c>
      <c r="E2060" t="s">
        <v>135</v>
      </c>
      <c r="F2060" t="s">
        <v>3954</v>
      </c>
      <c r="G2060" t="str">
        <f>"00351043"</f>
        <v>00351043</v>
      </c>
      <c r="H2060" t="s">
        <v>813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70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X2060">
        <v>0</v>
      </c>
      <c r="Z2060">
        <v>0</v>
      </c>
      <c r="AA2060">
        <v>0</v>
      </c>
      <c r="AB2060">
        <v>6</v>
      </c>
      <c r="AC2060">
        <v>102</v>
      </c>
      <c r="AD2060" t="s">
        <v>3955</v>
      </c>
    </row>
    <row r="2061" spans="1:30" x14ac:dyDescent="0.25">
      <c r="H2061" t="s">
        <v>1696</v>
      </c>
    </row>
    <row r="2062" spans="1:30" x14ac:dyDescent="0.25">
      <c r="A2062">
        <v>1028</v>
      </c>
      <c r="B2062">
        <v>1282</v>
      </c>
      <c r="C2062" t="s">
        <v>2833</v>
      </c>
      <c r="D2062" t="s">
        <v>3956</v>
      </c>
      <c r="E2062" t="s">
        <v>135</v>
      </c>
      <c r="F2062" t="s">
        <v>3957</v>
      </c>
      <c r="G2062" t="str">
        <f>"00310691"</f>
        <v>00310691</v>
      </c>
      <c r="H2062" t="s">
        <v>3611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70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0</v>
      </c>
      <c r="W2062">
        <v>0</v>
      </c>
      <c r="X2062">
        <v>0</v>
      </c>
      <c r="Z2062">
        <v>0</v>
      </c>
      <c r="AA2062">
        <v>0</v>
      </c>
      <c r="AB2062">
        <v>0</v>
      </c>
      <c r="AC2062">
        <v>0</v>
      </c>
      <c r="AD2062" t="s">
        <v>3958</v>
      </c>
    </row>
    <row r="2063" spans="1:30" x14ac:dyDescent="0.25">
      <c r="H2063" t="s">
        <v>3959</v>
      </c>
    </row>
    <row r="2064" spans="1:30" x14ac:dyDescent="0.25">
      <c r="A2064">
        <v>1029</v>
      </c>
      <c r="B2064">
        <v>4132</v>
      </c>
      <c r="C2064" t="s">
        <v>3960</v>
      </c>
      <c r="D2064" t="s">
        <v>28</v>
      </c>
      <c r="E2064" t="s">
        <v>435</v>
      </c>
      <c r="F2064" t="s">
        <v>3961</v>
      </c>
      <c r="G2064" t="str">
        <f>"00015419"</f>
        <v>00015419</v>
      </c>
      <c r="H2064" t="s">
        <v>54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50</v>
      </c>
      <c r="O2064">
        <v>30</v>
      </c>
      <c r="P2064">
        <v>30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0</v>
      </c>
      <c r="W2064">
        <v>0</v>
      </c>
      <c r="X2064">
        <v>0</v>
      </c>
      <c r="Z2064">
        <v>0</v>
      </c>
      <c r="AA2064">
        <v>0</v>
      </c>
      <c r="AB2064">
        <v>0</v>
      </c>
      <c r="AC2064">
        <v>0</v>
      </c>
      <c r="AD2064" t="s">
        <v>782</v>
      </c>
    </row>
    <row r="2065" spans="1:30" x14ac:dyDescent="0.25">
      <c r="H2065" t="s">
        <v>3962</v>
      </c>
    </row>
    <row r="2066" spans="1:30" x14ac:dyDescent="0.25">
      <c r="A2066">
        <v>1030</v>
      </c>
      <c r="B2066">
        <v>5027</v>
      </c>
      <c r="C2066" t="s">
        <v>3963</v>
      </c>
      <c r="D2066" t="s">
        <v>135</v>
      </c>
      <c r="E2066" t="s">
        <v>1640</v>
      </c>
      <c r="F2066" t="s">
        <v>3964</v>
      </c>
      <c r="G2066" t="str">
        <f>"00365761"</f>
        <v>00365761</v>
      </c>
      <c r="H2066" t="s">
        <v>115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70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0</v>
      </c>
      <c r="W2066">
        <v>0</v>
      </c>
      <c r="X2066">
        <v>0</v>
      </c>
      <c r="Z2066">
        <v>0</v>
      </c>
      <c r="AA2066">
        <v>0</v>
      </c>
      <c r="AB2066">
        <v>0</v>
      </c>
      <c r="AC2066">
        <v>0</v>
      </c>
      <c r="AD2066" t="s">
        <v>3965</v>
      </c>
    </row>
    <row r="2067" spans="1:30" x14ac:dyDescent="0.25">
      <c r="H2067" t="s">
        <v>3966</v>
      </c>
    </row>
    <row r="2068" spans="1:30" x14ac:dyDescent="0.25">
      <c r="A2068">
        <v>1031</v>
      </c>
      <c r="B2068">
        <v>4844</v>
      </c>
      <c r="C2068" t="s">
        <v>3967</v>
      </c>
      <c r="D2068" t="s">
        <v>77</v>
      </c>
      <c r="E2068" t="s">
        <v>59</v>
      </c>
      <c r="F2068" t="s">
        <v>3968</v>
      </c>
      <c r="G2068" t="str">
        <f>"00348245"</f>
        <v>00348245</v>
      </c>
      <c r="H2068" t="s">
        <v>458</v>
      </c>
      <c r="I2068">
        <v>0</v>
      </c>
      <c r="J2068">
        <v>0</v>
      </c>
      <c r="K2068">
        <v>0</v>
      </c>
      <c r="L2068">
        <v>200</v>
      </c>
      <c r="M2068">
        <v>0</v>
      </c>
      <c r="N2068">
        <v>30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0</v>
      </c>
      <c r="W2068">
        <v>0</v>
      </c>
      <c r="X2068">
        <v>0</v>
      </c>
      <c r="Z2068">
        <v>0</v>
      </c>
      <c r="AA2068">
        <v>0</v>
      </c>
      <c r="AB2068">
        <v>0</v>
      </c>
      <c r="AC2068">
        <v>0</v>
      </c>
      <c r="AD2068" t="s">
        <v>3969</v>
      </c>
    </row>
    <row r="2069" spans="1:30" x14ac:dyDescent="0.25">
      <c r="H2069" t="s">
        <v>3970</v>
      </c>
    </row>
    <row r="2070" spans="1:30" x14ac:dyDescent="0.25">
      <c r="A2070">
        <v>1032</v>
      </c>
      <c r="B2070">
        <v>2734</v>
      </c>
      <c r="C2070" t="s">
        <v>3971</v>
      </c>
      <c r="D2070" t="s">
        <v>89</v>
      </c>
      <c r="E2070" t="s">
        <v>272</v>
      </c>
      <c r="F2070" t="s">
        <v>3972</v>
      </c>
      <c r="G2070" t="str">
        <f>"00296306"</f>
        <v>00296306</v>
      </c>
      <c r="H2070" t="s">
        <v>2530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70</v>
      </c>
      <c r="O2070">
        <v>30</v>
      </c>
      <c r="P2070">
        <v>0</v>
      </c>
      <c r="Q2070">
        <v>50</v>
      </c>
      <c r="R2070">
        <v>0</v>
      </c>
      <c r="S2070">
        <v>0</v>
      </c>
      <c r="T2070">
        <v>0</v>
      </c>
      <c r="U2070">
        <v>0</v>
      </c>
      <c r="V2070">
        <v>0</v>
      </c>
      <c r="W2070">
        <v>0</v>
      </c>
      <c r="X2070">
        <v>0</v>
      </c>
      <c r="Z2070">
        <v>0</v>
      </c>
      <c r="AA2070">
        <v>0</v>
      </c>
      <c r="AB2070">
        <v>0</v>
      </c>
      <c r="AC2070">
        <v>0</v>
      </c>
      <c r="AD2070" t="s">
        <v>3973</v>
      </c>
    </row>
    <row r="2071" spans="1:30" x14ac:dyDescent="0.25">
      <c r="H2071" t="s">
        <v>3974</v>
      </c>
    </row>
    <row r="2072" spans="1:30" x14ac:dyDescent="0.25">
      <c r="A2072">
        <v>1033</v>
      </c>
      <c r="B2072">
        <v>4001</v>
      </c>
      <c r="C2072" t="s">
        <v>3975</v>
      </c>
      <c r="D2072" t="s">
        <v>327</v>
      </c>
      <c r="E2072" t="s">
        <v>135</v>
      </c>
      <c r="F2072" t="s">
        <v>3976</v>
      </c>
      <c r="G2072" t="str">
        <f>"00361772"</f>
        <v>00361772</v>
      </c>
      <c r="H2072" t="s">
        <v>54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50</v>
      </c>
      <c r="O2072">
        <v>50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W2072">
        <v>0</v>
      </c>
      <c r="X2072">
        <v>0</v>
      </c>
      <c r="Z2072">
        <v>0</v>
      </c>
      <c r="AA2072">
        <v>0</v>
      </c>
      <c r="AB2072">
        <v>0</v>
      </c>
      <c r="AC2072">
        <v>0</v>
      </c>
      <c r="AD2072" t="s">
        <v>3977</v>
      </c>
    </row>
    <row r="2073" spans="1:30" x14ac:dyDescent="0.25">
      <c r="H2073" t="s">
        <v>3978</v>
      </c>
    </row>
    <row r="2074" spans="1:30" x14ac:dyDescent="0.25">
      <c r="A2074">
        <v>1034</v>
      </c>
      <c r="B2074">
        <v>2106</v>
      </c>
      <c r="C2074" t="s">
        <v>3892</v>
      </c>
      <c r="D2074" t="s">
        <v>66</v>
      </c>
      <c r="E2074" t="s">
        <v>435</v>
      </c>
      <c r="F2074" t="s">
        <v>3979</v>
      </c>
      <c r="G2074" t="str">
        <f>"00127694"</f>
        <v>00127694</v>
      </c>
      <c r="H2074" t="s">
        <v>3228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30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W2074">
        <v>0</v>
      </c>
      <c r="X2074">
        <v>0</v>
      </c>
      <c r="Z2074">
        <v>0</v>
      </c>
      <c r="AA2074">
        <v>0</v>
      </c>
      <c r="AB2074">
        <v>8</v>
      </c>
      <c r="AC2074">
        <v>136</v>
      </c>
      <c r="AD2074" t="s">
        <v>3980</v>
      </c>
    </row>
    <row r="2075" spans="1:30" x14ac:dyDescent="0.25">
      <c r="H2075" t="s">
        <v>3981</v>
      </c>
    </row>
    <row r="2076" spans="1:30" x14ac:dyDescent="0.25">
      <c r="A2076">
        <v>1035</v>
      </c>
      <c r="B2076">
        <v>5316</v>
      </c>
      <c r="C2076" t="s">
        <v>1447</v>
      </c>
      <c r="D2076" t="s">
        <v>1718</v>
      </c>
      <c r="E2076" t="s">
        <v>174</v>
      </c>
      <c r="F2076" t="s">
        <v>3982</v>
      </c>
      <c r="G2076" t="str">
        <f>"00369254"</f>
        <v>00369254</v>
      </c>
      <c r="H2076">
        <v>814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70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W2076">
        <v>0</v>
      </c>
      <c r="X2076">
        <v>0</v>
      </c>
      <c r="Z2076">
        <v>0</v>
      </c>
      <c r="AA2076">
        <v>0</v>
      </c>
      <c r="AB2076">
        <v>0</v>
      </c>
      <c r="AC2076">
        <v>0</v>
      </c>
      <c r="AD2076">
        <v>884</v>
      </c>
    </row>
    <row r="2077" spans="1:30" x14ac:dyDescent="0.25">
      <c r="H2077" t="s">
        <v>3983</v>
      </c>
    </row>
    <row r="2078" spans="1:30" x14ac:dyDescent="0.25">
      <c r="A2078">
        <v>1036</v>
      </c>
      <c r="B2078">
        <v>4103</v>
      </c>
      <c r="C2078" t="s">
        <v>3984</v>
      </c>
      <c r="D2078" t="s">
        <v>3985</v>
      </c>
      <c r="E2078" t="s">
        <v>135</v>
      </c>
      <c r="F2078" t="s">
        <v>3986</v>
      </c>
      <c r="G2078" t="str">
        <f>"00367265"</f>
        <v>00367265</v>
      </c>
      <c r="H2078" t="s">
        <v>115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50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0</v>
      </c>
      <c r="W2078">
        <v>0</v>
      </c>
      <c r="X2078">
        <v>0</v>
      </c>
      <c r="Z2078">
        <v>0</v>
      </c>
      <c r="AA2078">
        <v>0</v>
      </c>
      <c r="AB2078">
        <v>0</v>
      </c>
      <c r="AC2078">
        <v>0</v>
      </c>
      <c r="AD2078" t="s">
        <v>3987</v>
      </c>
    </row>
    <row r="2079" spans="1:30" x14ac:dyDescent="0.25">
      <c r="H2079" t="s">
        <v>1055</v>
      </c>
    </row>
    <row r="2080" spans="1:30" x14ac:dyDescent="0.25">
      <c r="A2080">
        <v>1037</v>
      </c>
      <c r="B2080">
        <v>2392</v>
      </c>
      <c r="C2080" t="s">
        <v>3988</v>
      </c>
      <c r="D2080" t="s">
        <v>135</v>
      </c>
      <c r="E2080" t="s">
        <v>59</v>
      </c>
      <c r="F2080" t="s">
        <v>3989</v>
      </c>
      <c r="G2080" t="str">
        <f>"00369211"</f>
        <v>00369211</v>
      </c>
      <c r="H2080" t="s">
        <v>319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70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5</v>
      </c>
      <c r="W2080">
        <v>35</v>
      </c>
      <c r="X2080">
        <v>0</v>
      </c>
      <c r="Z2080">
        <v>0</v>
      </c>
      <c r="AA2080">
        <v>0</v>
      </c>
      <c r="AB2080">
        <v>0</v>
      </c>
      <c r="AC2080">
        <v>0</v>
      </c>
      <c r="AD2080" t="s">
        <v>3990</v>
      </c>
    </row>
    <row r="2081" spans="1:30" x14ac:dyDescent="0.25">
      <c r="H2081" t="s">
        <v>1500</v>
      </c>
    </row>
    <row r="2082" spans="1:30" x14ac:dyDescent="0.25">
      <c r="A2082">
        <v>1038</v>
      </c>
      <c r="B2082">
        <v>3622</v>
      </c>
      <c r="C2082" t="s">
        <v>3991</v>
      </c>
      <c r="D2082" t="s">
        <v>1808</v>
      </c>
      <c r="E2082" t="s">
        <v>90</v>
      </c>
      <c r="F2082" t="s">
        <v>3992</v>
      </c>
      <c r="G2082" t="str">
        <f>"00358830"</f>
        <v>00358830</v>
      </c>
      <c r="H2082" t="s">
        <v>30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30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0</v>
      </c>
      <c r="W2082">
        <v>0</v>
      </c>
      <c r="X2082">
        <v>0</v>
      </c>
      <c r="Z2082">
        <v>0</v>
      </c>
      <c r="AA2082">
        <v>0</v>
      </c>
      <c r="AB2082">
        <v>0</v>
      </c>
      <c r="AC2082">
        <v>0</v>
      </c>
      <c r="AD2082" t="s">
        <v>3993</v>
      </c>
    </row>
    <row r="2083" spans="1:30" x14ac:dyDescent="0.25">
      <c r="H2083" t="s">
        <v>3994</v>
      </c>
    </row>
    <row r="2084" spans="1:30" x14ac:dyDescent="0.25">
      <c r="A2084">
        <v>1039</v>
      </c>
      <c r="B2084">
        <v>3743</v>
      </c>
      <c r="C2084" t="s">
        <v>3995</v>
      </c>
      <c r="D2084" t="s">
        <v>562</v>
      </c>
      <c r="E2084" t="s">
        <v>3732</v>
      </c>
      <c r="F2084" t="s">
        <v>3996</v>
      </c>
      <c r="G2084" t="str">
        <f>"00037528"</f>
        <v>00037528</v>
      </c>
      <c r="H2084" t="s">
        <v>651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30</v>
      </c>
      <c r="O2084">
        <v>0</v>
      </c>
      <c r="P2084">
        <v>30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0</v>
      </c>
      <c r="W2084">
        <v>0</v>
      </c>
      <c r="X2084">
        <v>0</v>
      </c>
      <c r="Z2084">
        <v>0</v>
      </c>
      <c r="AA2084">
        <v>0</v>
      </c>
      <c r="AB2084">
        <v>0</v>
      </c>
      <c r="AC2084">
        <v>0</v>
      </c>
      <c r="AD2084" t="s">
        <v>3997</v>
      </c>
    </row>
    <row r="2085" spans="1:30" x14ac:dyDescent="0.25">
      <c r="H2085" t="s">
        <v>3998</v>
      </c>
    </row>
    <row r="2086" spans="1:30" x14ac:dyDescent="0.25">
      <c r="A2086">
        <v>1040</v>
      </c>
      <c r="B2086">
        <v>3887</v>
      </c>
      <c r="C2086" t="s">
        <v>3999</v>
      </c>
      <c r="D2086" t="s">
        <v>1270</v>
      </c>
      <c r="E2086" t="s">
        <v>4000</v>
      </c>
      <c r="F2086" t="s">
        <v>4001</v>
      </c>
      <c r="G2086" t="str">
        <f>"00145271"</f>
        <v>00145271</v>
      </c>
      <c r="H2086" t="s">
        <v>1050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70</v>
      </c>
      <c r="O2086">
        <v>30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W2086">
        <v>0</v>
      </c>
      <c r="X2086">
        <v>0</v>
      </c>
      <c r="Z2086">
        <v>0</v>
      </c>
      <c r="AA2086">
        <v>0</v>
      </c>
      <c r="AB2086">
        <v>0</v>
      </c>
      <c r="AC2086">
        <v>0</v>
      </c>
      <c r="AD2086" t="s">
        <v>4002</v>
      </c>
    </row>
    <row r="2087" spans="1:30" x14ac:dyDescent="0.25">
      <c r="H2087" t="s">
        <v>4003</v>
      </c>
    </row>
    <row r="2088" spans="1:30" x14ac:dyDescent="0.25">
      <c r="A2088">
        <v>1041</v>
      </c>
      <c r="B2088">
        <v>809</v>
      </c>
      <c r="C2088" t="s">
        <v>4004</v>
      </c>
      <c r="D2088" t="s">
        <v>408</v>
      </c>
      <c r="E2088" t="s">
        <v>59</v>
      </c>
      <c r="F2088" t="s">
        <v>4005</v>
      </c>
      <c r="G2088" t="str">
        <f>"00036144"</f>
        <v>00036144</v>
      </c>
      <c r="H2088" t="s">
        <v>3611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30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0</v>
      </c>
      <c r="W2088">
        <v>0</v>
      </c>
      <c r="X2088">
        <v>0</v>
      </c>
      <c r="Z2088">
        <v>0</v>
      </c>
      <c r="AA2088">
        <v>0</v>
      </c>
      <c r="AB2088">
        <v>0</v>
      </c>
      <c r="AC2088">
        <v>0</v>
      </c>
      <c r="AD2088" t="s">
        <v>4006</v>
      </c>
    </row>
    <row r="2089" spans="1:30" x14ac:dyDescent="0.25">
      <c r="H2089" t="s">
        <v>4007</v>
      </c>
    </row>
    <row r="2090" spans="1:30" x14ac:dyDescent="0.25">
      <c r="A2090">
        <v>1042</v>
      </c>
      <c r="B2090">
        <v>1097</v>
      </c>
      <c r="C2090" t="s">
        <v>4008</v>
      </c>
      <c r="D2090" t="s">
        <v>66</v>
      </c>
      <c r="E2090" t="s">
        <v>4009</v>
      </c>
      <c r="F2090" t="s">
        <v>4010</v>
      </c>
      <c r="G2090" t="str">
        <f>"00261834"</f>
        <v>00261834</v>
      </c>
      <c r="H2090" t="s">
        <v>2759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50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13</v>
      </c>
      <c r="W2090">
        <v>91</v>
      </c>
      <c r="X2090">
        <v>0</v>
      </c>
      <c r="Z2090">
        <v>0</v>
      </c>
      <c r="AA2090">
        <v>0</v>
      </c>
      <c r="AB2090">
        <v>0</v>
      </c>
      <c r="AC2090">
        <v>0</v>
      </c>
      <c r="AD2090" t="s">
        <v>4011</v>
      </c>
    </row>
    <row r="2091" spans="1:30" x14ac:dyDescent="0.25">
      <c r="H2091" t="s">
        <v>337</v>
      </c>
    </row>
    <row r="2092" spans="1:30" x14ac:dyDescent="0.25">
      <c r="A2092">
        <v>1043</v>
      </c>
      <c r="B2092">
        <v>4662</v>
      </c>
      <c r="C2092" t="s">
        <v>4012</v>
      </c>
      <c r="D2092" t="s">
        <v>389</v>
      </c>
      <c r="E2092" t="s">
        <v>108</v>
      </c>
      <c r="F2092" t="s">
        <v>4013</v>
      </c>
      <c r="G2092" t="str">
        <f>"00340110"</f>
        <v>00340110</v>
      </c>
      <c r="H2092" t="s">
        <v>752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30</v>
      </c>
      <c r="O2092">
        <v>30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X2092">
        <v>0</v>
      </c>
      <c r="Z2092">
        <v>0</v>
      </c>
      <c r="AA2092">
        <v>0</v>
      </c>
      <c r="AB2092">
        <v>0</v>
      </c>
      <c r="AC2092">
        <v>0</v>
      </c>
      <c r="AD2092" t="s">
        <v>4014</v>
      </c>
    </row>
    <row r="2093" spans="1:30" x14ac:dyDescent="0.25">
      <c r="H2093" t="s">
        <v>4015</v>
      </c>
    </row>
    <row r="2094" spans="1:30" x14ac:dyDescent="0.25">
      <c r="A2094">
        <v>1044</v>
      </c>
      <c r="B2094">
        <v>221</v>
      </c>
      <c r="C2094" t="s">
        <v>4016</v>
      </c>
      <c r="D2094" t="s">
        <v>576</v>
      </c>
      <c r="E2094" t="s">
        <v>35</v>
      </c>
      <c r="F2094" t="s">
        <v>4017</v>
      </c>
      <c r="G2094" t="str">
        <f>"00245611"</f>
        <v>00245611</v>
      </c>
      <c r="H2094" t="s">
        <v>772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70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W2094">
        <v>0</v>
      </c>
      <c r="X2094">
        <v>0</v>
      </c>
      <c r="Z2094">
        <v>0</v>
      </c>
      <c r="AA2094">
        <v>0</v>
      </c>
      <c r="AB2094">
        <v>0</v>
      </c>
      <c r="AC2094">
        <v>0</v>
      </c>
      <c r="AD2094" t="s">
        <v>4018</v>
      </c>
    </row>
    <row r="2095" spans="1:30" x14ac:dyDescent="0.25">
      <c r="H2095" t="s">
        <v>4019</v>
      </c>
    </row>
    <row r="2096" spans="1:30" x14ac:dyDescent="0.25">
      <c r="A2096">
        <v>1045</v>
      </c>
      <c r="B2096">
        <v>1991</v>
      </c>
      <c r="C2096" t="s">
        <v>4020</v>
      </c>
      <c r="D2096" t="s">
        <v>664</v>
      </c>
      <c r="E2096" t="s">
        <v>158</v>
      </c>
      <c r="F2096" t="s">
        <v>4021</v>
      </c>
      <c r="G2096" t="str">
        <f>"00320851"</f>
        <v>00320851</v>
      </c>
      <c r="H2096">
        <v>715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70</v>
      </c>
      <c r="O2096">
        <v>0</v>
      </c>
      <c r="P2096">
        <v>0</v>
      </c>
      <c r="Q2096">
        <v>50</v>
      </c>
      <c r="R2096">
        <v>0</v>
      </c>
      <c r="S2096">
        <v>0</v>
      </c>
      <c r="T2096">
        <v>0</v>
      </c>
      <c r="U2096">
        <v>0</v>
      </c>
      <c r="V2096">
        <v>0</v>
      </c>
      <c r="W2096">
        <v>0</v>
      </c>
      <c r="X2096">
        <v>0</v>
      </c>
      <c r="Z2096">
        <v>0</v>
      </c>
      <c r="AA2096">
        <v>0</v>
      </c>
      <c r="AB2096">
        <v>0</v>
      </c>
      <c r="AC2096">
        <v>0</v>
      </c>
      <c r="AD2096">
        <v>835</v>
      </c>
    </row>
    <row r="2097" spans="1:30" x14ac:dyDescent="0.25">
      <c r="H2097" t="s">
        <v>1055</v>
      </c>
    </row>
    <row r="2098" spans="1:30" x14ac:dyDescent="0.25">
      <c r="A2098">
        <v>1046</v>
      </c>
      <c r="B2098">
        <v>2675</v>
      </c>
      <c r="C2098" t="s">
        <v>4022</v>
      </c>
      <c r="D2098" t="s">
        <v>28</v>
      </c>
      <c r="E2098" t="s">
        <v>42</v>
      </c>
      <c r="F2098" t="s">
        <v>4023</v>
      </c>
      <c r="G2098" t="str">
        <f>"201412004678"</f>
        <v>201412004678</v>
      </c>
      <c r="H2098" t="s">
        <v>1094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70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12</v>
      </c>
      <c r="W2098">
        <v>84</v>
      </c>
      <c r="X2098">
        <v>0</v>
      </c>
      <c r="Z2098">
        <v>0</v>
      </c>
      <c r="AA2098">
        <v>0</v>
      </c>
      <c r="AB2098">
        <v>0</v>
      </c>
      <c r="AC2098">
        <v>0</v>
      </c>
      <c r="AD2098" t="s">
        <v>3611</v>
      </c>
    </row>
    <row r="2099" spans="1:30" x14ac:dyDescent="0.25">
      <c r="H2099" t="s">
        <v>4024</v>
      </c>
    </row>
    <row r="2100" spans="1:30" x14ac:dyDescent="0.25">
      <c r="A2100">
        <v>1047</v>
      </c>
      <c r="B2100">
        <v>1609</v>
      </c>
      <c r="C2100" t="s">
        <v>4025</v>
      </c>
      <c r="D2100" t="s">
        <v>780</v>
      </c>
      <c r="E2100" t="s">
        <v>408</v>
      </c>
      <c r="F2100" t="s">
        <v>4026</v>
      </c>
      <c r="G2100" t="str">
        <f>"00326042"</f>
        <v>00326042</v>
      </c>
      <c r="H2100" t="s">
        <v>1050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30</v>
      </c>
      <c r="O2100">
        <v>0</v>
      </c>
      <c r="P2100">
        <v>30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W2100">
        <v>0</v>
      </c>
      <c r="X2100">
        <v>0</v>
      </c>
      <c r="Z2100">
        <v>0</v>
      </c>
      <c r="AA2100">
        <v>0</v>
      </c>
      <c r="AB2100">
        <v>0</v>
      </c>
      <c r="AC2100">
        <v>0</v>
      </c>
      <c r="AD2100" t="s">
        <v>4027</v>
      </c>
    </row>
    <row r="2101" spans="1:30" x14ac:dyDescent="0.25">
      <c r="H2101" t="s">
        <v>729</v>
      </c>
    </row>
    <row r="2102" spans="1:30" x14ac:dyDescent="0.25">
      <c r="A2102">
        <v>1048</v>
      </c>
      <c r="B2102">
        <v>3016</v>
      </c>
      <c r="C2102" t="s">
        <v>583</v>
      </c>
      <c r="D2102" t="s">
        <v>702</v>
      </c>
      <c r="E2102" t="s">
        <v>59</v>
      </c>
      <c r="F2102" t="s">
        <v>4028</v>
      </c>
      <c r="G2102" t="str">
        <f>"00334847"</f>
        <v>00334847</v>
      </c>
      <c r="H2102" t="s">
        <v>2273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30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17</v>
      </c>
      <c r="W2102">
        <v>119</v>
      </c>
      <c r="X2102">
        <v>0</v>
      </c>
      <c r="Z2102">
        <v>0</v>
      </c>
      <c r="AA2102">
        <v>0</v>
      </c>
      <c r="AB2102">
        <v>0</v>
      </c>
      <c r="AC2102">
        <v>0</v>
      </c>
      <c r="AD2102" t="s">
        <v>4029</v>
      </c>
    </row>
    <row r="2103" spans="1:30" x14ac:dyDescent="0.25">
      <c r="H2103" t="s">
        <v>4030</v>
      </c>
    </row>
    <row r="2104" spans="1:30" x14ac:dyDescent="0.25">
      <c r="A2104">
        <v>1049</v>
      </c>
      <c r="B2104">
        <v>4537</v>
      </c>
      <c r="C2104" t="s">
        <v>4031</v>
      </c>
      <c r="D2104" t="s">
        <v>28</v>
      </c>
      <c r="E2104" t="s">
        <v>119</v>
      </c>
      <c r="F2104" t="s">
        <v>4032</v>
      </c>
      <c r="G2104" t="str">
        <f>"201511024658"</f>
        <v>201511024658</v>
      </c>
      <c r="H2104" t="s">
        <v>1872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70</v>
      </c>
      <c r="O2104">
        <v>30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0</v>
      </c>
      <c r="W2104">
        <v>0</v>
      </c>
      <c r="X2104">
        <v>0</v>
      </c>
      <c r="Z2104">
        <v>0</v>
      </c>
      <c r="AA2104">
        <v>0</v>
      </c>
      <c r="AB2104">
        <v>0</v>
      </c>
      <c r="AC2104">
        <v>0</v>
      </c>
      <c r="AD2104" t="s">
        <v>4033</v>
      </c>
    </row>
    <row r="2105" spans="1:30" x14ac:dyDescent="0.25">
      <c r="H2105">
        <v>1086</v>
      </c>
    </row>
    <row r="2106" spans="1:30" x14ac:dyDescent="0.25">
      <c r="A2106">
        <v>1050</v>
      </c>
      <c r="B2106">
        <v>5151</v>
      </c>
      <c r="C2106" t="s">
        <v>1795</v>
      </c>
      <c r="D2106" t="s">
        <v>4034</v>
      </c>
      <c r="E2106" t="s">
        <v>66</v>
      </c>
      <c r="F2106" t="s">
        <v>4035</v>
      </c>
      <c r="G2106" t="str">
        <f>"00369114"</f>
        <v>00369114</v>
      </c>
      <c r="H2106" t="s">
        <v>414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30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W2106">
        <v>0</v>
      </c>
      <c r="X2106">
        <v>0</v>
      </c>
      <c r="Z2106">
        <v>0</v>
      </c>
      <c r="AA2106">
        <v>0</v>
      </c>
      <c r="AB2106">
        <v>0</v>
      </c>
      <c r="AC2106">
        <v>0</v>
      </c>
      <c r="AD2106" t="s">
        <v>4036</v>
      </c>
    </row>
    <row r="2107" spans="1:30" x14ac:dyDescent="0.25">
      <c r="H2107" t="s">
        <v>4037</v>
      </c>
    </row>
    <row r="2108" spans="1:30" x14ac:dyDescent="0.25">
      <c r="A2108">
        <v>1051</v>
      </c>
      <c r="B2108">
        <v>2129</v>
      </c>
      <c r="C2108" t="s">
        <v>4038</v>
      </c>
      <c r="D2108" t="s">
        <v>59</v>
      </c>
      <c r="E2108" t="s">
        <v>108</v>
      </c>
      <c r="F2108" t="s">
        <v>4039</v>
      </c>
      <c r="G2108" t="str">
        <f>"201406006006"</f>
        <v>201406006006</v>
      </c>
      <c r="H2108" t="s">
        <v>777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70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5</v>
      </c>
      <c r="W2108">
        <v>35</v>
      </c>
      <c r="X2108">
        <v>6</v>
      </c>
      <c r="Y2108">
        <v>1080</v>
      </c>
      <c r="Z2108">
        <v>0</v>
      </c>
      <c r="AA2108">
        <v>0</v>
      </c>
      <c r="AB2108">
        <v>0</v>
      </c>
      <c r="AC2108">
        <v>0</v>
      </c>
      <c r="AD2108" t="s">
        <v>4040</v>
      </c>
    </row>
    <row r="2109" spans="1:30" x14ac:dyDescent="0.25">
      <c r="H2109">
        <v>1080</v>
      </c>
    </row>
    <row r="2110" spans="1:30" x14ac:dyDescent="0.25">
      <c r="A2110">
        <v>1052</v>
      </c>
      <c r="B2110">
        <v>3262</v>
      </c>
      <c r="C2110" t="s">
        <v>4041</v>
      </c>
      <c r="D2110" t="s">
        <v>352</v>
      </c>
      <c r="E2110" t="s">
        <v>1130</v>
      </c>
      <c r="F2110" t="s">
        <v>4042</v>
      </c>
      <c r="G2110" t="str">
        <f>"201504000998"</f>
        <v>201504000998</v>
      </c>
      <c r="H2110">
        <v>693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50</v>
      </c>
      <c r="O2110">
        <v>0</v>
      </c>
      <c r="P2110">
        <v>70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W2110">
        <v>0</v>
      </c>
      <c r="X2110">
        <v>6</v>
      </c>
      <c r="Y2110">
        <v>1084</v>
      </c>
      <c r="Z2110">
        <v>0</v>
      </c>
      <c r="AA2110">
        <v>0</v>
      </c>
      <c r="AB2110">
        <v>0</v>
      </c>
      <c r="AC2110">
        <v>0</v>
      </c>
      <c r="AD2110">
        <v>813</v>
      </c>
    </row>
    <row r="2111" spans="1:30" x14ac:dyDescent="0.25">
      <c r="H2111">
        <v>1084</v>
      </c>
    </row>
    <row r="2112" spans="1:30" x14ac:dyDescent="0.25">
      <c r="A2112">
        <v>1053</v>
      </c>
      <c r="B2112">
        <v>658</v>
      </c>
      <c r="C2112" t="s">
        <v>4043</v>
      </c>
      <c r="D2112" t="s">
        <v>521</v>
      </c>
      <c r="E2112" t="s">
        <v>28</v>
      </c>
      <c r="F2112" t="s">
        <v>4044</v>
      </c>
      <c r="G2112" t="str">
        <f>"00141067"</f>
        <v>00141067</v>
      </c>
      <c r="H2112">
        <v>781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30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0</v>
      </c>
      <c r="W2112">
        <v>0</v>
      </c>
      <c r="X2112">
        <v>0</v>
      </c>
      <c r="Z2112">
        <v>0</v>
      </c>
      <c r="AA2112">
        <v>0</v>
      </c>
      <c r="AB2112">
        <v>0</v>
      </c>
      <c r="AC2112">
        <v>0</v>
      </c>
      <c r="AD2112">
        <v>811</v>
      </c>
    </row>
    <row r="2113" spans="1:30" x14ac:dyDescent="0.25">
      <c r="H2113" t="s">
        <v>4045</v>
      </c>
    </row>
    <row r="2114" spans="1:30" x14ac:dyDescent="0.25">
      <c r="A2114">
        <v>1054</v>
      </c>
      <c r="B2114">
        <v>2226</v>
      </c>
      <c r="C2114" t="s">
        <v>4046</v>
      </c>
      <c r="D2114" t="s">
        <v>35</v>
      </c>
      <c r="E2114" t="s">
        <v>2211</v>
      </c>
      <c r="F2114" t="s">
        <v>4047</v>
      </c>
      <c r="G2114" t="str">
        <f>"00339981"</f>
        <v>00339981</v>
      </c>
      <c r="H2114" t="s">
        <v>813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50</v>
      </c>
      <c r="O2114">
        <v>0</v>
      </c>
      <c r="P2114">
        <v>30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0</v>
      </c>
      <c r="W2114">
        <v>0</v>
      </c>
      <c r="X2114">
        <v>0</v>
      </c>
      <c r="Z2114">
        <v>0</v>
      </c>
      <c r="AA2114">
        <v>0</v>
      </c>
      <c r="AB2114">
        <v>0</v>
      </c>
      <c r="AC2114">
        <v>0</v>
      </c>
      <c r="AD2114" t="s">
        <v>4048</v>
      </c>
    </row>
    <row r="2115" spans="1:30" x14ac:dyDescent="0.25">
      <c r="H2115">
        <v>1086</v>
      </c>
    </row>
    <row r="2116" spans="1:30" x14ac:dyDescent="0.25">
      <c r="A2116">
        <v>1055</v>
      </c>
      <c r="B2116">
        <v>4115</v>
      </c>
      <c r="C2116" t="s">
        <v>4049</v>
      </c>
      <c r="D2116" t="s">
        <v>77</v>
      </c>
      <c r="E2116" t="s">
        <v>136</v>
      </c>
      <c r="F2116" t="s">
        <v>4050</v>
      </c>
      <c r="G2116" t="str">
        <f>"00145687"</f>
        <v>00145687</v>
      </c>
      <c r="H2116" t="s">
        <v>359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30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0</v>
      </c>
      <c r="W2116">
        <v>0</v>
      </c>
      <c r="X2116">
        <v>0</v>
      </c>
      <c r="Z2116">
        <v>0</v>
      </c>
      <c r="AA2116">
        <v>0</v>
      </c>
      <c r="AB2116">
        <v>0</v>
      </c>
      <c r="AC2116">
        <v>0</v>
      </c>
      <c r="AD2116" t="s">
        <v>4051</v>
      </c>
    </row>
    <row r="2117" spans="1:30" x14ac:dyDescent="0.25">
      <c r="H2117" t="s">
        <v>4052</v>
      </c>
    </row>
    <row r="2118" spans="1:30" x14ac:dyDescent="0.25">
      <c r="A2118">
        <v>1056</v>
      </c>
      <c r="B2118">
        <v>4756</v>
      </c>
      <c r="C2118" t="s">
        <v>4053</v>
      </c>
      <c r="D2118" t="s">
        <v>4054</v>
      </c>
      <c r="E2118" t="s">
        <v>77</v>
      </c>
      <c r="F2118" t="s">
        <v>4055</v>
      </c>
      <c r="G2118" t="str">
        <f>"00159352"</f>
        <v>00159352</v>
      </c>
      <c r="H2118" t="s">
        <v>850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30</v>
      </c>
      <c r="O2118">
        <v>0</v>
      </c>
      <c r="P2118">
        <v>30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2</v>
      </c>
      <c r="W2118">
        <v>14</v>
      </c>
      <c r="X2118">
        <v>0</v>
      </c>
      <c r="Z2118">
        <v>0</v>
      </c>
      <c r="AA2118">
        <v>0</v>
      </c>
      <c r="AB2118">
        <v>0</v>
      </c>
      <c r="AC2118">
        <v>0</v>
      </c>
      <c r="AD2118" t="s">
        <v>4056</v>
      </c>
    </row>
    <row r="2119" spans="1:30" x14ac:dyDescent="0.25">
      <c r="H2119" t="s">
        <v>4057</v>
      </c>
    </row>
    <row r="2120" spans="1:30" x14ac:dyDescent="0.25">
      <c r="A2120">
        <v>1057</v>
      </c>
      <c r="B2120">
        <v>1847</v>
      </c>
      <c r="C2120" t="s">
        <v>4058</v>
      </c>
      <c r="D2120" t="s">
        <v>4059</v>
      </c>
      <c r="E2120" t="s">
        <v>28</v>
      </c>
      <c r="F2120" t="s">
        <v>4060</v>
      </c>
      <c r="G2120" t="str">
        <f>"00316294"</f>
        <v>00316294</v>
      </c>
      <c r="H2120" t="s">
        <v>498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30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0</v>
      </c>
      <c r="W2120">
        <v>0</v>
      </c>
      <c r="X2120">
        <v>0</v>
      </c>
      <c r="Z2120">
        <v>0</v>
      </c>
      <c r="AA2120">
        <v>0</v>
      </c>
      <c r="AB2120">
        <v>0</v>
      </c>
      <c r="AC2120">
        <v>0</v>
      </c>
      <c r="AD2120" t="s">
        <v>4061</v>
      </c>
    </row>
    <row r="2121" spans="1:30" x14ac:dyDescent="0.25">
      <c r="H2121" t="s">
        <v>4062</v>
      </c>
    </row>
    <row r="2122" spans="1:30" x14ac:dyDescent="0.25">
      <c r="A2122">
        <v>1058</v>
      </c>
      <c r="B2122">
        <v>130</v>
      </c>
      <c r="C2122" t="s">
        <v>4063</v>
      </c>
      <c r="D2122" t="s">
        <v>4064</v>
      </c>
      <c r="E2122" t="s">
        <v>294</v>
      </c>
      <c r="F2122" t="s">
        <v>4065</v>
      </c>
      <c r="G2122" t="str">
        <f>"201412003486"</f>
        <v>201412003486</v>
      </c>
      <c r="H2122" t="s">
        <v>2419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30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15</v>
      </c>
      <c r="W2122">
        <v>105</v>
      </c>
      <c r="X2122">
        <v>0</v>
      </c>
      <c r="Z2122">
        <v>0</v>
      </c>
      <c r="AA2122">
        <v>0</v>
      </c>
      <c r="AB2122">
        <v>0</v>
      </c>
      <c r="AC2122">
        <v>0</v>
      </c>
      <c r="AD2122" t="s">
        <v>4066</v>
      </c>
    </row>
    <row r="2123" spans="1:30" x14ac:dyDescent="0.25">
      <c r="H2123" t="s">
        <v>4067</v>
      </c>
    </row>
    <row r="2124" spans="1:30" x14ac:dyDescent="0.25">
      <c r="A2124">
        <v>1059</v>
      </c>
      <c r="B2124">
        <v>4756</v>
      </c>
      <c r="C2124" t="s">
        <v>4053</v>
      </c>
      <c r="D2124" t="s">
        <v>4054</v>
      </c>
      <c r="E2124" t="s">
        <v>77</v>
      </c>
      <c r="F2124" t="s">
        <v>4055</v>
      </c>
      <c r="G2124" t="str">
        <f>"00159352"</f>
        <v>00159352</v>
      </c>
      <c r="H2124" t="s">
        <v>850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30</v>
      </c>
      <c r="O2124">
        <v>0</v>
      </c>
      <c r="P2124">
        <v>30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0</v>
      </c>
      <c r="W2124">
        <v>0</v>
      </c>
      <c r="X2124">
        <v>0</v>
      </c>
      <c r="Z2124">
        <v>0</v>
      </c>
      <c r="AA2124">
        <v>0</v>
      </c>
      <c r="AB2124">
        <v>0</v>
      </c>
      <c r="AC2124">
        <v>0</v>
      </c>
      <c r="AD2124" t="s">
        <v>4068</v>
      </c>
    </row>
    <row r="2125" spans="1:30" x14ac:dyDescent="0.25">
      <c r="H2125" t="s">
        <v>4057</v>
      </c>
    </row>
    <row r="2126" spans="1:30" x14ac:dyDescent="0.25">
      <c r="A2126">
        <v>1060</v>
      </c>
      <c r="B2126">
        <v>4897</v>
      </c>
      <c r="C2126" t="s">
        <v>4069</v>
      </c>
      <c r="D2126" t="s">
        <v>4070</v>
      </c>
      <c r="E2126" t="s">
        <v>42</v>
      </c>
      <c r="F2126" t="s">
        <v>4071</v>
      </c>
      <c r="G2126" t="str">
        <f>"00144509"</f>
        <v>00144509</v>
      </c>
      <c r="H2126" t="s">
        <v>2165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70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0</v>
      </c>
      <c r="W2126">
        <v>0</v>
      </c>
      <c r="X2126">
        <v>0</v>
      </c>
      <c r="Z2126">
        <v>0</v>
      </c>
      <c r="AA2126">
        <v>0</v>
      </c>
      <c r="AB2126">
        <v>0</v>
      </c>
      <c r="AC2126">
        <v>0</v>
      </c>
      <c r="AD2126" t="s">
        <v>4072</v>
      </c>
    </row>
    <row r="2127" spans="1:30" x14ac:dyDescent="0.25">
      <c r="H2127" t="s">
        <v>4073</v>
      </c>
    </row>
    <row r="2128" spans="1:30" x14ac:dyDescent="0.25">
      <c r="A2128">
        <v>1061</v>
      </c>
      <c r="B2128">
        <v>3091</v>
      </c>
      <c r="C2128" t="s">
        <v>3593</v>
      </c>
      <c r="D2128" t="s">
        <v>59</v>
      </c>
      <c r="E2128" t="s">
        <v>158</v>
      </c>
      <c r="F2128" t="s">
        <v>4074</v>
      </c>
      <c r="G2128" t="str">
        <f>"00344929"</f>
        <v>00344929</v>
      </c>
      <c r="H2128" t="s">
        <v>723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30</v>
      </c>
      <c r="O2128">
        <v>0</v>
      </c>
      <c r="P2128">
        <v>30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W2128">
        <v>0</v>
      </c>
      <c r="X2128">
        <v>0</v>
      </c>
      <c r="Z2128">
        <v>0</v>
      </c>
      <c r="AA2128">
        <v>0</v>
      </c>
      <c r="AB2128">
        <v>0</v>
      </c>
      <c r="AC2128">
        <v>0</v>
      </c>
      <c r="AD2128" t="s">
        <v>4075</v>
      </c>
    </row>
    <row r="2129" spans="1:30" x14ac:dyDescent="0.25">
      <c r="H2129" t="s">
        <v>4076</v>
      </c>
    </row>
    <row r="2130" spans="1:30" x14ac:dyDescent="0.25">
      <c r="A2130">
        <v>1062</v>
      </c>
      <c r="B2130">
        <v>3348</v>
      </c>
      <c r="C2130" t="s">
        <v>4077</v>
      </c>
      <c r="D2130" t="s">
        <v>4078</v>
      </c>
      <c r="E2130" t="s">
        <v>408</v>
      </c>
      <c r="F2130" t="s">
        <v>4079</v>
      </c>
      <c r="G2130" t="str">
        <f>"00325574"</f>
        <v>00325574</v>
      </c>
      <c r="H2130" t="s">
        <v>227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30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0</v>
      </c>
      <c r="W2130">
        <v>0</v>
      </c>
      <c r="X2130">
        <v>0</v>
      </c>
      <c r="Z2130">
        <v>1</v>
      </c>
      <c r="AA2130">
        <v>0</v>
      </c>
      <c r="AB2130">
        <v>0</v>
      </c>
      <c r="AC2130">
        <v>0</v>
      </c>
      <c r="AD2130" t="s">
        <v>4080</v>
      </c>
    </row>
    <row r="2131" spans="1:30" x14ac:dyDescent="0.25">
      <c r="H2131" t="s">
        <v>2265</v>
      </c>
    </row>
    <row r="2132" spans="1:30" x14ac:dyDescent="0.25">
      <c r="A2132">
        <v>1063</v>
      </c>
      <c r="B2132">
        <v>312</v>
      </c>
      <c r="C2132" t="s">
        <v>4081</v>
      </c>
      <c r="D2132" t="s">
        <v>42</v>
      </c>
      <c r="E2132" t="s">
        <v>35</v>
      </c>
      <c r="F2132" t="s">
        <v>4082</v>
      </c>
      <c r="G2132" t="str">
        <f>"00215848"</f>
        <v>00215848</v>
      </c>
      <c r="H2132" t="s">
        <v>832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30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0</v>
      </c>
      <c r="W2132">
        <v>0</v>
      </c>
      <c r="X2132">
        <v>0</v>
      </c>
      <c r="Z2132">
        <v>0</v>
      </c>
      <c r="AA2132">
        <v>0</v>
      </c>
      <c r="AB2132">
        <v>0</v>
      </c>
      <c r="AC2132">
        <v>0</v>
      </c>
      <c r="AD2132" t="s">
        <v>4083</v>
      </c>
    </row>
    <row r="2133" spans="1:30" x14ac:dyDescent="0.25">
      <c r="H2133" t="s">
        <v>4084</v>
      </c>
    </row>
    <row r="2134" spans="1:30" x14ac:dyDescent="0.25">
      <c r="A2134">
        <v>1064</v>
      </c>
      <c r="B2134">
        <v>2229</v>
      </c>
      <c r="C2134" t="s">
        <v>4085</v>
      </c>
      <c r="D2134" t="s">
        <v>300</v>
      </c>
      <c r="E2134" t="s">
        <v>197</v>
      </c>
      <c r="F2134" t="s">
        <v>4086</v>
      </c>
      <c r="G2134" t="str">
        <f>"00151016"</f>
        <v>00151016</v>
      </c>
      <c r="H2134" t="s">
        <v>802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30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0</v>
      </c>
      <c r="W2134">
        <v>0</v>
      </c>
      <c r="X2134">
        <v>0</v>
      </c>
      <c r="Z2134">
        <v>0</v>
      </c>
      <c r="AA2134">
        <v>0</v>
      </c>
      <c r="AB2134">
        <v>0</v>
      </c>
      <c r="AC2134">
        <v>0</v>
      </c>
      <c r="AD2134" t="s">
        <v>4087</v>
      </c>
    </row>
    <row r="2135" spans="1:30" x14ac:dyDescent="0.25">
      <c r="H2135" t="s">
        <v>4088</v>
      </c>
    </row>
    <row r="2136" spans="1:30" x14ac:dyDescent="0.25">
      <c r="A2136">
        <v>1065</v>
      </c>
      <c r="B2136">
        <v>2981</v>
      </c>
      <c r="C2136" t="s">
        <v>4089</v>
      </c>
      <c r="D2136" t="s">
        <v>135</v>
      </c>
      <c r="E2136" t="s">
        <v>42</v>
      </c>
      <c r="F2136" t="s">
        <v>4090</v>
      </c>
      <c r="G2136" t="str">
        <f>"00233587"</f>
        <v>00233587</v>
      </c>
      <c r="H2136" t="s">
        <v>2530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30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0</v>
      </c>
      <c r="W2136">
        <v>0</v>
      </c>
      <c r="X2136">
        <v>0</v>
      </c>
      <c r="Z2136">
        <v>0</v>
      </c>
      <c r="AA2136">
        <v>0</v>
      </c>
      <c r="AB2136">
        <v>0</v>
      </c>
      <c r="AC2136">
        <v>0</v>
      </c>
      <c r="AD2136" t="s">
        <v>4091</v>
      </c>
    </row>
    <row r="2137" spans="1:30" x14ac:dyDescent="0.25">
      <c r="H2137" t="s">
        <v>4092</v>
      </c>
    </row>
    <row r="2138" spans="1:30" x14ac:dyDescent="0.25">
      <c r="A2138">
        <v>1066</v>
      </c>
      <c r="B2138">
        <v>4732</v>
      </c>
      <c r="C2138" t="s">
        <v>4093</v>
      </c>
      <c r="D2138" t="s">
        <v>15</v>
      </c>
      <c r="E2138" t="s">
        <v>59</v>
      </c>
      <c r="F2138" t="s">
        <v>4094</v>
      </c>
      <c r="G2138" t="str">
        <f>"00023090"</f>
        <v>00023090</v>
      </c>
      <c r="H2138" t="s">
        <v>2273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30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9</v>
      </c>
      <c r="W2138">
        <v>63</v>
      </c>
      <c r="X2138">
        <v>0</v>
      </c>
      <c r="Z2138">
        <v>0</v>
      </c>
      <c r="AA2138">
        <v>0</v>
      </c>
      <c r="AB2138">
        <v>0</v>
      </c>
      <c r="AC2138">
        <v>0</v>
      </c>
      <c r="AD2138" t="s">
        <v>4095</v>
      </c>
    </row>
    <row r="2139" spans="1:30" x14ac:dyDescent="0.25">
      <c r="H2139" t="s">
        <v>4096</v>
      </c>
    </row>
    <row r="2140" spans="1:30" x14ac:dyDescent="0.25">
      <c r="A2140">
        <v>1067</v>
      </c>
      <c r="B2140">
        <v>4964</v>
      </c>
      <c r="C2140" t="s">
        <v>4097</v>
      </c>
      <c r="D2140" t="s">
        <v>294</v>
      </c>
      <c r="E2140" t="s">
        <v>174</v>
      </c>
      <c r="F2140" t="s">
        <v>4098</v>
      </c>
      <c r="G2140" t="str">
        <f>"00030293"</f>
        <v>00030293</v>
      </c>
      <c r="H2140" t="s">
        <v>1548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30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0</v>
      </c>
      <c r="W2140">
        <v>0</v>
      </c>
      <c r="X2140">
        <v>0</v>
      </c>
      <c r="Z2140">
        <v>0</v>
      </c>
      <c r="AA2140">
        <v>0</v>
      </c>
      <c r="AB2140">
        <v>0</v>
      </c>
      <c r="AC2140">
        <v>0</v>
      </c>
      <c r="AD2140" t="s">
        <v>4099</v>
      </c>
    </row>
    <row r="2141" spans="1:30" x14ac:dyDescent="0.25">
      <c r="H2141" t="s">
        <v>4100</v>
      </c>
    </row>
    <row r="2142" spans="1:30" x14ac:dyDescent="0.25">
      <c r="A2142">
        <v>1068</v>
      </c>
      <c r="B2142">
        <v>4052</v>
      </c>
      <c r="C2142" t="s">
        <v>4101</v>
      </c>
      <c r="D2142" t="s">
        <v>4102</v>
      </c>
      <c r="E2142" t="s">
        <v>77</v>
      </c>
      <c r="F2142" t="s">
        <v>4103</v>
      </c>
      <c r="G2142" t="str">
        <f>"00365325"</f>
        <v>00365325</v>
      </c>
      <c r="H2142" t="s">
        <v>375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0</v>
      </c>
      <c r="W2142">
        <v>0</v>
      </c>
      <c r="X2142">
        <v>0</v>
      </c>
      <c r="Z2142">
        <v>1</v>
      </c>
      <c r="AA2142">
        <v>0</v>
      </c>
      <c r="AB2142">
        <v>0</v>
      </c>
      <c r="AC2142">
        <v>0</v>
      </c>
      <c r="AD2142" t="s">
        <v>375</v>
      </c>
    </row>
    <row r="2143" spans="1:30" x14ac:dyDescent="0.25">
      <c r="H2143">
        <v>1087</v>
      </c>
    </row>
    <row r="2144" spans="1:30" x14ac:dyDescent="0.25">
      <c r="A2144">
        <v>1069</v>
      </c>
      <c r="B2144">
        <v>3012</v>
      </c>
      <c r="C2144" t="s">
        <v>4104</v>
      </c>
      <c r="D2144" t="s">
        <v>3873</v>
      </c>
      <c r="E2144" t="s">
        <v>77</v>
      </c>
      <c r="F2144" t="s">
        <v>4105</v>
      </c>
      <c r="G2144" t="str">
        <f>"00358689"</f>
        <v>00358689</v>
      </c>
      <c r="H2144" t="s">
        <v>2892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50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0</v>
      </c>
      <c r="W2144">
        <v>0</v>
      </c>
      <c r="X2144">
        <v>0</v>
      </c>
      <c r="Z2144">
        <v>0</v>
      </c>
      <c r="AA2144">
        <v>0</v>
      </c>
      <c r="AB2144">
        <v>0</v>
      </c>
      <c r="AC2144">
        <v>0</v>
      </c>
      <c r="AD2144" t="s">
        <v>4106</v>
      </c>
    </row>
    <row r="2145" spans="1:30" x14ac:dyDescent="0.25">
      <c r="H2145" t="s">
        <v>4107</v>
      </c>
    </row>
    <row r="2146" spans="1:30" x14ac:dyDescent="0.25">
      <c r="A2146">
        <v>1070</v>
      </c>
      <c r="B2146">
        <v>1922</v>
      </c>
      <c r="C2146" t="s">
        <v>3925</v>
      </c>
      <c r="D2146" t="s">
        <v>59</v>
      </c>
      <c r="E2146" t="s">
        <v>1130</v>
      </c>
      <c r="F2146" t="s">
        <v>3926</v>
      </c>
      <c r="G2146" t="str">
        <f>"201507000573"</f>
        <v>201507000573</v>
      </c>
      <c r="H2146" t="s">
        <v>3269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50</v>
      </c>
      <c r="O2146">
        <v>0</v>
      </c>
      <c r="P2146">
        <v>50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0</v>
      </c>
      <c r="W2146">
        <v>0</v>
      </c>
      <c r="X2146">
        <v>0</v>
      </c>
      <c r="Z2146">
        <v>0</v>
      </c>
      <c r="AA2146">
        <v>0</v>
      </c>
      <c r="AB2146">
        <v>0</v>
      </c>
      <c r="AC2146">
        <v>0</v>
      </c>
      <c r="AD2146" t="s">
        <v>4108</v>
      </c>
    </row>
    <row r="2147" spans="1:30" x14ac:dyDescent="0.25">
      <c r="H2147" t="s">
        <v>3928</v>
      </c>
    </row>
    <row r="2148" spans="1:30" x14ac:dyDescent="0.25">
      <c r="A2148">
        <v>1071</v>
      </c>
      <c r="B2148">
        <v>1217</v>
      </c>
      <c r="C2148" t="s">
        <v>4109</v>
      </c>
      <c r="D2148" t="s">
        <v>72</v>
      </c>
      <c r="E2148" t="s">
        <v>300</v>
      </c>
      <c r="F2148" t="s">
        <v>4110</v>
      </c>
      <c r="G2148" t="str">
        <f>"201512002609"</f>
        <v>201512002609</v>
      </c>
      <c r="H2148" t="s">
        <v>4111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70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0</v>
      </c>
      <c r="W2148">
        <v>0</v>
      </c>
      <c r="X2148">
        <v>0</v>
      </c>
      <c r="Z2148">
        <v>0</v>
      </c>
      <c r="AA2148">
        <v>0</v>
      </c>
      <c r="AB2148">
        <v>0</v>
      </c>
      <c r="AC2148">
        <v>0</v>
      </c>
      <c r="AD2148" t="s">
        <v>4112</v>
      </c>
    </row>
    <row r="2149" spans="1:30" x14ac:dyDescent="0.25">
      <c r="H2149" t="s">
        <v>4113</v>
      </c>
    </row>
    <row r="2150" spans="1:30" x14ac:dyDescent="0.25">
      <c r="A2150">
        <v>1072</v>
      </c>
      <c r="B2150">
        <v>4771</v>
      </c>
      <c r="C2150" t="s">
        <v>3350</v>
      </c>
      <c r="D2150" t="s">
        <v>363</v>
      </c>
      <c r="E2150" t="s">
        <v>28</v>
      </c>
      <c r="F2150" t="s">
        <v>4114</v>
      </c>
      <c r="G2150" t="str">
        <f>"00017411"</f>
        <v>00017411</v>
      </c>
      <c r="H2150" t="s">
        <v>2387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30</v>
      </c>
      <c r="O2150">
        <v>0</v>
      </c>
      <c r="P2150">
        <v>30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0</v>
      </c>
      <c r="W2150">
        <v>0</v>
      </c>
      <c r="X2150">
        <v>0</v>
      </c>
      <c r="Z2150">
        <v>0</v>
      </c>
      <c r="AA2150">
        <v>0</v>
      </c>
      <c r="AB2150">
        <v>0</v>
      </c>
      <c r="AC2150">
        <v>0</v>
      </c>
      <c r="AD2150" t="s">
        <v>4115</v>
      </c>
    </row>
    <row r="2151" spans="1:30" x14ac:dyDescent="0.25">
      <c r="H2151" t="s">
        <v>1696</v>
      </c>
    </row>
    <row r="2152" spans="1:30" x14ac:dyDescent="0.25">
      <c r="A2152">
        <v>1073</v>
      </c>
      <c r="B2152">
        <v>2998</v>
      </c>
      <c r="C2152" t="s">
        <v>4116</v>
      </c>
      <c r="D2152" t="s">
        <v>4117</v>
      </c>
      <c r="E2152" t="s">
        <v>77</v>
      </c>
      <c r="F2152" t="s">
        <v>4118</v>
      </c>
      <c r="G2152" t="str">
        <f>"00368689"</f>
        <v>00368689</v>
      </c>
      <c r="H2152">
        <v>550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30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0</v>
      </c>
      <c r="W2152">
        <v>0</v>
      </c>
      <c r="X2152">
        <v>0</v>
      </c>
      <c r="Z2152">
        <v>1</v>
      </c>
      <c r="AA2152">
        <v>0</v>
      </c>
      <c r="AB2152">
        <v>0</v>
      </c>
      <c r="AC2152">
        <v>0</v>
      </c>
      <c r="AD2152">
        <v>580</v>
      </c>
    </row>
    <row r="2153" spans="1:30" x14ac:dyDescent="0.25">
      <c r="H2153" t="s">
        <v>4119</v>
      </c>
    </row>
    <row r="2155" spans="1:30" x14ac:dyDescent="0.25">
      <c r="A2155" t="s">
        <v>4120</v>
      </c>
    </row>
    <row r="2156" spans="1:30" x14ac:dyDescent="0.25">
      <c r="A2156" t="s">
        <v>4121</v>
      </c>
    </row>
    <row r="2157" spans="1:30" x14ac:dyDescent="0.25">
      <c r="A2157" t="s">
        <v>4122</v>
      </c>
    </row>
    <row r="2158" spans="1:30" x14ac:dyDescent="0.25">
      <c r="A2158" t="s">
        <v>4123</v>
      </c>
    </row>
    <row r="2159" spans="1:30" x14ac:dyDescent="0.25">
      <c r="A2159" t="s">
        <v>4124</v>
      </c>
    </row>
    <row r="2160" spans="1:30" x14ac:dyDescent="0.25">
      <c r="A2160" t="s">
        <v>4125</v>
      </c>
    </row>
    <row r="2161" spans="1:1" x14ac:dyDescent="0.25">
      <c r="A2161" t="s">
        <v>4126</v>
      </c>
    </row>
    <row r="2162" spans="1:1" x14ac:dyDescent="0.25">
      <c r="A2162" t="s">
        <v>4127</v>
      </c>
    </row>
    <row r="2163" spans="1:1" x14ac:dyDescent="0.25">
      <c r="A2163" t="s">
        <v>4128</v>
      </c>
    </row>
    <row r="2164" spans="1:1" x14ac:dyDescent="0.25">
      <c r="A2164" t="s">
        <v>4129</v>
      </c>
    </row>
    <row r="2165" spans="1:1" x14ac:dyDescent="0.25">
      <c r="A2165" t="s">
        <v>4130</v>
      </c>
    </row>
    <row r="2166" spans="1:1" x14ac:dyDescent="0.25">
      <c r="A2166" t="s">
        <v>4131</v>
      </c>
    </row>
    <row r="2167" spans="1:1" x14ac:dyDescent="0.25">
      <c r="A2167" t="s">
        <v>4132</v>
      </c>
    </row>
    <row r="2168" spans="1:1" x14ac:dyDescent="0.25">
      <c r="A2168" t="s">
        <v>4133</v>
      </c>
    </row>
    <row r="2169" spans="1:1" x14ac:dyDescent="0.25">
      <c r="A2169" t="s">
        <v>4134</v>
      </c>
    </row>
    <row r="2170" spans="1:1" x14ac:dyDescent="0.25">
      <c r="A2170" t="s">
        <v>4135</v>
      </c>
    </row>
    <row r="2171" spans="1:1" x14ac:dyDescent="0.25">
      <c r="A2171" t="s">
        <v>4136</v>
      </c>
    </row>
    <row r="2172" spans="1:1" x14ac:dyDescent="0.25">
      <c r="A2172" t="s">
        <v>4137</v>
      </c>
    </row>
    <row r="2173" spans="1:1" x14ac:dyDescent="0.25">
      <c r="A2173" t="s">
        <v>4138</v>
      </c>
    </row>
    <row r="2174" spans="1:1" x14ac:dyDescent="0.25">
      <c r="A2174" t="s">
        <v>4139</v>
      </c>
    </row>
    <row r="2175" spans="1:1" x14ac:dyDescent="0.25">
      <c r="A2175" t="s">
        <v>4140</v>
      </c>
    </row>
    <row r="2176" spans="1:1" x14ac:dyDescent="0.25">
      <c r="A2176" t="s">
        <v>4141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2018-03-28T09:04:00Z</dcterms:created>
  <dcterms:modified xsi:type="dcterms:W3CDTF">2018-03-28T09:04:10Z</dcterms:modified>
</cp:coreProperties>
</file>