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48" i="1" l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<sst xmlns="http://schemas.openxmlformats.org/spreadsheetml/2006/main" count="8117" uniqueCount="4823">
  <si>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</si>
  <si>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</si>
  <si>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</si>
  <si>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ΧΩΡΙΣ ΕΜΠΕΙΡΙΑ</t>
  </si>
  <si>
    <t>ΠΕ ΔΙΟΙΚΗΤΙΚΩΝ - ΟΙΚΟΝΟΜΙΚΩΝ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</si>
  <si>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</si>
  <si>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</si>
  <si>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</si>
  <si>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</si>
  <si>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</si>
  <si>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</si>
  <si>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</si>
  <si>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</si>
  <si>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ΑΝΤΩΝΙΟΥ</t>
  </si>
  <si>
    <t>ΓΕΩΡΓΙΟΣ</t>
  </si>
  <si>
    <t>ΑΘΑΝΑΣΙΟΣ</t>
  </si>
  <si>
    <t>ΑΕ057862</t>
  </si>
  <si>
    <t>1007-1008-1005-1047-1006-1052-1060-1009-1049-1048-1050-1051-1053-1054-1055-1056-1057-1058-1059-1061-1062-1063-1064-1065-1066-1067-1068</t>
  </si>
  <si>
    <t>ΞΙΑΡΧΟΓΙΑΝΝΟΠΟΥΛΟΥ</t>
  </si>
  <si>
    <t>ΕΛΕΝΗ</t>
  </si>
  <si>
    <t>ΙΩΑΝΝΗΣ</t>
  </si>
  <si>
    <t>Φ364136</t>
  </si>
  <si>
    <t>764,5</t>
  </si>
  <si>
    <t>1825,5</t>
  </si>
  <si>
    <t>1008-1009-1006-1005</t>
  </si>
  <si>
    <t>ΓΙΑΛΙΤΑΚΗ</t>
  </si>
  <si>
    <t>ΑΙΚΑΤΕΡΙΝΗ</t>
  </si>
  <si>
    <t>ΑΖ961833</t>
  </si>
  <si>
    <t>877,8</t>
  </si>
  <si>
    <t>1655,8</t>
  </si>
  <si>
    <t>ΓΡΑΜΜΑΤΙΚΟΥ</t>
  </si>
  <si>
    <t>ΔΑΦΝΗ</t>
  </si>
  <si>
    <t>ΑΣΤΕΡΙΟΣ</t>
  </si>
  <si>
    <t>ΑΜ687431</t>
  </si>
  <si>
    <t>763,4</t>
  </si>
  <si>
    <t>1651,4</t>
  </si>
  <si>
    <t>1054-1055-1058-1065-1063-1064-1006-1005-1007-1047-1048-1059-1061-1049-1050-1051-1056-1057-1060-1062-1066-1067-1068-1008-1009</t>
  </si>
  <si>
    <t>ΡΕΜΟΣ</t>
  </si>
  <si>
    <t>ΒΑΣΙΛΕΙΟΣ</t>
  </si>
  <si>
    <t>ΑΝΑΣΤΑΣΙΟΣ</t>
  </si>
  <si>
    <t>ΑΒ106634</t>
  </si>
  <si>
    <t>1050-1051-1052-1053-1054-1055-1056-1059-1060-1062-1064-1009</t>
  </si>
  <si>
    <t>ΓΑΛΑΝΗ</t>
  </si>
  <si>
    <t>ΓΕΩΡΓΙΑ</t>
  </si>
  <si>
    <t>ΧΡΗΣΤΟΣ</t>
  </si>
  <si>
    <t>ΑΕ702344</t>
  </si>
  <si>
    <t>860,2</t>
  </si>
  <si>
    <t>1618,2</t>
  </si>
  <si>
    <t>1005-1006-1009-1051-1052-1054-1055-1059-1060-1064</t>
  </si>
  <si>
    <t>ΛΑΙΟΣ</t>
  </si>
  <si>
    <t>ΠΑΝΑΓΙΩΤΗΣ</t>
  </si>
  <si>
    <t>ΚΩΝΣΤΑΝΤΙΝΟΣ</t>
  </si>
  <si>
    <t>ΑΖ997689</t>
  </si>
  <si>
    <t>926,2</t>
  </si>
  <si>
    <t>1594,2</t>
  </si>
  <si>
    <t>1051-1052-1060-1009-1064-1055-1059</t>
  </si>
  <si>
    <t>ΚΟΥΤΗΣ</t>
  </si>
  <si>
    <t>ΑΜ506121</t>
  </si>
  <si>
    <t>908,6</t>
  </si>
  <si>
    <t>1586,6</t>
  </si>
  <si>
    <t>1009-1006-1005</t>
  </si>
  <si>
    <t xml:space="preserve">ΠΑΠΑΝΑΓΙΩΤΟΥ </t>
  </si>
  <si>
    <t>ΑΔΑΜΑΝΤΙΑ ΣΤΑΥΡΙΑΝΗ</t>
  </si>
  <si>
    <t>ΔΙΟΝΥΣΙΟΣ</t>
  </si>
  <si>
    <t>ΑΒ033676</t>
  </si>
  <si>
    <t>851,4</t>
  </si>
  <si>
    <t>1579,4</t>
  </si>
  <si>
    <t>1060-1054-1055-1068-1066-1009-1005-1006-1007-1008-1049-1051-1052-1053-1047-1048-1062-1061-1056-1059-1050-1057-1058-1063-1064-1065-1067</t>
  </si>
  <si>
    <t>ΦΑΡΜΑΚΗΣ</t>
  </si>
  <si>
    <t>ΘΩΜΑΣ</t>
  </si>
  <si>
    <t>ΑΛΕΞΑΝΔΡΟΣ</t>
  </si>
  <si>
    <t>ΑΖ241332</t>
  </si>
  <si>
    <t>897,6</t>
  </si>
  <si>
    <t>1575,6</t>
  </si>
  <si>
    <t>1054-1055-1060-1059-1049-1056-1057-1048-1052-1051-1047-1053-1008-1009-1007-1061</t>
  </si>
  <si>
    <t>ΣΩΠΑΣΗ</t>
  </si>
  <si>
    <t>ΕΥΔΟΞΙΑ</t>
  </si>
  <si>
    <t>ΑΝ208181</t>
  </si>
  <si>
    <t>1054-1055-1009-1051-1052-1066-1056-1060-1059-1064</t>
  </si>
  <si>
    <t>ΤΡΙΑΝΤΑΦΥΛΛΙΔΟΥ</t>
  </si>
  <si>
    <t>ΝΙΚΟΛΑΟΣ</t>
  </si>
  <si>
    <t>ΑΑ403698</t>
  </si>
  <si>
    <t>1055-1054-1064-1006-1051-1052-1005-1059-1060-1056-1009</t>
  </si>
  <si>
    <t>ΔΗΜΗΤΡΙΑΔΗ</t>
  </si>
  <si>
    <t>ΑΝΝΑ</t>
  </si>
  <si>
    <t>ΑΛΕΞΙΟΣ</t>
  </si>
  <si>
    <t>ΑΙ010351</t>
  </si>
  <si>
    <t>805,2</t>
  </si>
  <si>
    <t>1543,2</t>
  </si>
  <si>
    <t>1060-1052-1005-1055-1051-1054-1056-1009-1064-1066-1006-1059-1062-1050</t>
  </si>
  <si>
    <t>ΔΡΙΒΑ</t>
  </si>
  <si>
    <t>ΓΡΗΓΟΡΙΑ</t>
  </si>
  <si>
    <t>ΑΙ505425</t>
  </si>
  <si>
    <t>829,4</t>
  </si>
  <si>
    <t>1537,4</t>
  </si>
  <si>
    <t>1060-1051-1052-1054-1055-1005-1006-1064-1056-1059-1066-1009-1050-1062</t>
  </si>
  <si>
    <t>ΓΟΝΙΔΑΚΗ</t>
  </si>
  <si>
    <t>ΚΥΡΙΑΚΗ</t>
  </si>
  <si>
    <t>ΜΙΧΑΗΛ</t>
  </si>
  <si>
    <t>ΑΝ170256</t>
  </si>
  <si>
    <t>795,3</t>
  </si>
  <si>
    <t>1533,3</t>
  </si>
  <si>
    <t>1009-1005-1006</t>
  </si>
  <si>
    <t>ΚΑΝΑΚΟΥΣΑΚΗ</t>
  </si>
  <si>
    <t>ΝΙΚΟΛΕΤΤΑ</t>
  </si>
  <si>
    <t>ΑΙ453175</t>
  </si>
  <si>
    <t>788,7</t>
  </si>
  <si>
    <t>1526,7</t>
  </si>
  <si>
    <t>ΤΣΟΜΠΑΝΟΓΛΟΥ</t>
  </si>
  <si>
    <t>ΣΤΥΛΙΑΝΟΣ</t>
  </si>
  <si>
    <t>ΔΗΜΗΤΡΗΣ</t>
  </si>
  <si>
    <t>Π257048</t>
  </si>
  <si>
    <t>895,4</t>
  </si>
  <si>
    <t>1525,4</t>
  </si>
  <si>
    <t>1055-1056-1060-1051-1009-1064-1059</t>
  </si>
  <si>
    <t>ΑΝΤΩΝΙΑΔΟΥ</t>
  </si>
  <si>
    <t>ΕΛΙΣΑΒΕΤ</t>
  </si>
  <si>
    <t>ΑΝΤΩΝΙΟΣ</t>
  </si>
  <si>
    <t>ΑΒ865019</t>
  </si>
  <si>
    <t>817,3</t>
  </si>
  <si>
    <t>1525,3</t>
  </si>
  <si>
    <t>1009-1064-1051-1052-1054-1055-1056-1059-1060-1062-1050-1066-1007-1008-1063-1065-1067-1068-1057-1058-1061-1047-1048-1049-1053</t>
  </si>
  <si>
    <t>ΔΟΡΦΑΝΗΣ</t>
  </si>
  <si>
    <t>ΙΛΑΡΙΩΝ</t>
  </si>
  <si>
    <t>ΑΚ448337</t>
  </si>
  <si>
    <t>686,4</t>
  </si>
  <si>
    <t>1524,4</t>
  </si>
  <si>
    <t>1055-1054-1056-1064-1061-1006-1058-1059-1063-1065-1067-1060-1050-1057-1051-1052-1049-1048-1047-1005-1007-1008-1009-1066-1053</t>
  </si>
  <si>
    <t>ΧΑΤΖΗΓΙΑΤΡΟΥΔΑΚΗΣ</t>
  </si>
  <si>
    <t>ΑΚ081750</t>
  </si>
  <si>
    <t>804,1</t>
  </si>
  <si>
    <t>1524,1</t>
  </si>
  <si>
    <t>1009-1052-1056-1060-1051-1005-1064-1054-1055-1062-1066-1059-1050</t>
  </si>
  <si>
    <t>ΠΛΑΚΑ</t>
  </si>
  <si>
    <t>ΧΑΡΑΛΑΜΠΟΣ</t>
  </si>
  <si>
    <t>ΑΙ468699</t>
  </si>
  <si>
    <t>1068-1008-1053-1009</t>
  </si>
  <si>
    <t>ΚΟΤΤΗ</t>
  </si>
  <si>
    <t>ΣΟΦΙΑ</t>
  </si>
  <si>
    <t>ΑΜ278991</t>
  </si>
  <si>
    <t>765,6</t>
  </si>
  <si>
    <t>1513,6</t>
  </si>
  <si>
    <t>1006-1005-1009</t>
  </si>
  <si>
    <t>ΔΑΝΑ</t>
  </si>
  <si>
    <t>ΑΒ860299</t>
  </si>
  <si>
    <t>790,9</t>
  </si>
  <si>
    <t>1498,9</t>
  </si>
  <si>
    <t>1055-1054-1059-1061-1056-1066-1068-1053-1052-1051-1063-1064-1062-1065-1067-1058-1057-1050-1048-1047-1049-1060-1008-1009-1007-1005</t>
  </si>
  <si>
    <t>ΖΟΥΡΑΡΑΚΗΣ</t>
  </si>
  <si>
    <t>ΑΚ477495</t>
  </si>
  <si>
    <t>787,6</t>
  </si>
  <si>
    <t>1495,6</t>
  </si>
  <si>
    <t>1009-1053</t>
  </si>
  <si>
    <t>ΣΥΡΙΑΝΟΓΛΟΥ</t>
  </si>
  <si>
    <t>ΑΠΟΣΤΟΛΟΣ</t>
  </si>
  <si>
    <t>ΔΗΜΗΤΡΙΟΣ</t>
  </si>
  <si>
    <t>ΑΙ472631</t>
  </si>
  <si>
    <t>816,2</t>
  </si>
  <si>
    <t>1494,2</t>
  </si>
  <si>
    <t>1068-1008-1009-1053-1060-1051-1052-1054-1055-1056</t>
  </si>
  <si>
    <t>ΧΡΙΣΤΟΔΟΥΛΟΥ</t>
  </si>
  <si>
    <t>ΠΑΣΧΑΛΗΣ</t>
  </si>
  <si>
    <t>ΑΗ561359</t>
  </si>
  <si>
    <t>810,7</t>
  </si>
  <si>
    <t>1480,7</t>
  </si>
  <si>
    <t>1008-1068-1009</t>
  </si>
  <si>
    <t>ΜΠΡΑΖΙΩΤΗ</t>
  </si>
  <si>
    <t>ΑΡΙΣΤΕΑ</t>
  </si>
  <si>
    <t>ΑΙ848086</t>
  </si>
  <si>
    <t>750,2</t>
  </si>
  <si>
    <t>1458,2</t>
  </si>
  <si>
    <t>1007-1067-1057-1061-1064-1048-1047-1049-1059-1054-1055-1051-1052-1056-1060-1008-1009-1053-1068</t>
  </si>
  <si>
    <t>ΑΝΔΡΙΚΟΠΟΥΛΟΥ</t>
  </si>
  <si>
    <t>ΘΕΟΔΟΣΙΑ</t>
  </si>
  <si>
    <t>Χ837519</t>
  </si>
  <si>
    <t>778,8</t>
  </si>
  <si>
    <t>1456,8</t>
  </si>
  <si>
    <t>1060-1052-1051-1005-1006-1054-1055-1064-1059-1056-1009-1066-1050</t>
  </si>
  <si>
    <t>ΣΤΡΑΝΤΖΑΛΗ</t>
  </si>
  <si>
    <t>ΒΑΣΙΛΙΚΗ</t>
  </si>
  <si>
    <t>ΑΙ489559</t>
  </si>
  <si>
    <t>1052-1047-1051-1054-1005-1055-1058-1061-1060-1056-1057-1007-1009-1008-1048-1049-1053-1064-1067-1063-1065-1068-1066-1062-1050</t>
  </si>
  <si>
    <t>ΚΥΠΙΡΤΙΔΟΥ</t>
  </si>
  <si>
    <t>ΔΕΣΠΟΙΝΑ</t>
  </si>
  <si>
    <t>ΑΖ829756</t>
  </si>
  <si>
    <t>1005-1006-1007-1008-1009-1047-1048-1049-1050-1051-1052-1053-1054-1055-1056-1057-1058-1059-1060-1061-1062-1063-1064-1065-1066-1067-1068</t>
  </si>
  <si>
    <t>ΠΑΠΑΝΙΚΟΛΑΟΥ</t>
  </si>
  <si>
    <t>ΜΑΡΙΑ</t>
  </si>
  <si>
    <t>ΑΖ704143</t>
  </si>
  <si>
    <t>774,4</t>
  </si>
  <si>
    <t>1452,4</t>
  </si>
  <si>
    <t>1007-1008-1009-1049-1050-1051-1052-1068-1067-1066-1062-1055-1054-1053-1056-1057-1058</t>
  </si>
  <si>
    <t>ΑΡΒΑΝΙΤΑΚΗΣ ΣΤΑΥΡΙΔΗΣ</t>
  </si>
  <si>
    <t>ΠΑΝΤΕΛΕΗΜΩΝ</t>
  </si>
  <si>
    <t>ΣΥΜΕΩΝ</t>
  </si>
  <si>
    <t>ΑΜ158170</t>
  </si>
  <si>
    <t>1060-1051-1052-1066-1054-1055-1056-1062-1005-1009-1064</t>
  </si>
  <si>
    <t>ΣΥΜΕΩΝΙΔΟΥ</t>
  </si>
  <si>
    <t>ΒΑΣΙΛΕΙΑ</t>
  </si>
  <si>
    <t>ΑΙ355432</t>
  </si>
  <si>
    <t>1055-1054-1056-1059-1064-1066-1051-1052-1009</t>
  </si>
  <si>
    <t>ΒΙΝΤΟ</t>
  </si>
  <si>
    <t>ΑΛΕΞΑΝΔΡΑ</t>
  </si>
  <si>
    <t>ΚΛΕΜΕΝΤ</t>
  </si>
  <si>
    <t>ΑΚ712535</t>
  </si>
  <si>
    <t>1005-1006-1007-1008-1009</t>
  </si>
  <si>
    <t>ΤΡΙΠΕΡΙΝΑ</t>
  </si>
  <si>
    <t>ΑΚ028598</t>
  </si>
  <si>
    <t>739,2</t>
  </si>
  <si>
    <t>1447,2</t>
  </si>
  <si>
    <t>1005-1052-1051-1009-1055-1006</t>
  </si>
  <si>
    <t>ΣΑΒΒΟΥΛΙΔΟΥ</t>
  </si>
  <si>
    <t>ΣΑΒΒΑΣ</t>
  </si>
  <si>
    <t>ΑΙ534194</t>
  </si>
  <si>
    <t>766,7</t>
  </si>
  <si>
    <t>1444,7</t>
  </si>
  <si>
    <t>1059-1054-1055-1064-1056-1051-1052-1009-1060-1066-1062-1050</t>
  </si>
  <si>
    <t>ΜΑΝΙΟΥΔΗΣ</t>
  </si>
  <si>
    <t>ΕΜΜΑΝΟΥΗΛ</t>
  </si>
  <si>
    <t>ΜΑΤΘΑΙΟΣ</t>
  </si>
  <si>
    <t>ΑΗ455556</t>
  </si>
  <si>
    <t>812,9</t>
  </si>
  <si>
    <t>1442,9</t>
  </si>
  <si>
    <t>1009-1052-1051-1060-1066-1064-1059-1056</t>
  </si>
  <si>
    <t>ΡΕΠΤΣΗ</t>
  </si>
  <si>
    <t>ΑΜ288766</t>
  </si>
  <si>
    <t>732,6</t>
  </si>
  <si>
    <t>1440,6</t>
  </si>
  <si>
    <t>1054-1055-1056-1064-1059-1057-1061-1067-1006-1007-1008-1009-1005-1051-1052-1060</t>
  </si>
  <si>
    <t>ΑΦΕΖΟΛΗΣ</t>
  </si>
  <si>
    <t>ΑΡΙΣΤΟΤΕΛΗΣ</t>
  </si>
  <si>
    <t>ΑΖ303400</t>
  </si>
  <si>
    <t>959,2</t>
  </si>
  <si>
    <t>1439,2</t>
  </si>
  <si>
    <t>1055-1061-1048-1007-1049-1054-1059-1067-1006-1005-1052-1051-1047-1056-1064-1068-1008-1060-1009-1053-1057-1062-1066</t>
  </si>
  <si>
    <t>ΚΑΤΑΚΗ</t>
  </si>
  <si>
    <t>ΦΑΝΗ</t>
  </si>
  <si>
    <t>ΑΒ190202</t>
  </si>
  <si>
    <t>962,5</t>
  </si>
  <si>
    <t>1432,5</t>
  </si>
  <si>
    <t>1005-1009-1054-1055-1060-1051-1052-1056-1059-1064</t>
  </si>
  <si>
    <t>ΠΑΠΑΖΗΣΙΜΟΥ</t>
  </si>
  <si>
    <t>Ρ238283</t>
  </si>
  <si>
    <t>723,8</t>
  </si>
  <si>
    <t>1421,8</t>
  </si>
  <si>
    <t>1049-1009-1051-1066-1060</t>
  </si>
  <si>
    <t>ΝΤΑΛΛΕ</t>
  </si>
  <si>
    <t>ΘΕΟΔΩΡΟΣ</t>
  </si>
  <si>
    <t>ΑΚ931132</t>
  </si>
  <si>
    <t>733,7</t>
  </si>
  <si>
    <t>1421,7</t>
  </si>
  <si>
    <t>1051-1009-1052-1056-1059-1064-1066</t>
  </si>
  <si>
    <t>ΝΟΥΣΗ ΠΕΡΑΚΗ</t>
  </si>
  <si>
    <t>ΧΑΡΑΛΑΜΠΙΑ</t>
  </si>
  <si>
    <t>ΑΡΤΕΜΙΟΣ</t>
  </si>
  <si>
    <t>ΑΜ576838</t>
  </si>
  <si>
    <t>951,5</t>
  </si>
  <si>
    <t>1421,5</t>
  </si>
  <si>
    <t>ΧΟΥΣΟΥ</t>
  </si>
  <si>
    <t>ΧΑΡΟΥΛΑ</t>
  </si>
  <si>
    <t>ΕΛΕΥΘΕΡΙΟΣ</t>
  </si>
  <si>
    <t>Σ803006</t>
  </si>
  <si>
    <t>1420,2</t>
  </si>
  <si>
    <t>1054-1055-1006-1060-1064-1059-1051-1052-1056-1005-1009</t>
  </si>
  <si>
    <t>ΜΑΡΚΑΚΗ</t>
  </si>
  <si>
    <t>ΕΥΑΓΓΕΛΙΑ</t>
  </si>
  <si>
    <t>ΑΑ373658</t>
  </si>
  <si>
    <t>751,3</t>
  </si>
  <si>
    <t>1419,3</t>
  </si>
  <si>
    <t>1009-1053-1068-1008-1051-1052-1054-1055-1060-1056-1007-1006-1005-1047-1048-1061-1067-1064-1065-1059</t>
  </si>
  <si>
    <t>ΡΑΠΤΗ</t>
  </si>
  <si>
    <t>ΖΩΗ</t>
  </si>
  <si>
    <t>ΑΕ469780</t>
  </si>
  <si>
    <t>782,1</t>
  </si>
  <si>
    <t>1410,1</t>
  </si>
  <si>
    <t>1007-1008-1009-1047-1048-1049-1051-1052-1053-1054-1055-1056-1059-1060-1061-1064-1067-1068</t>
  </si>
  <si>
    <t>ΛΑΜΠΡΙΝΙΔΗΣ</t>
  </si>
  <si>
    <t>ΑΝΔΡΕΑΣ</t>
  </si>
  <si>
    <t>Φ143064</t>
  </si>
  <si>
    <t>1409,2</t>
  </si>
  <si>
    <t>1052-1060-1005-1051-1009</t>
  </si>
  <si>
    <t>ΜΠΙΜΠΟΥ</t>
  </si>
  <si>
    <t>ΣΤΕΦΑΝΟΣ</t>
  </si>
  <si>
    <t>ΑΜ368321</t>
  </si>
  <si>
    <t>749,1</t>
  </si>
  <si>
    <t>1407,1</t>
  </si>
  <si>
    <t>1061-1067-1006-1007-1064-1059-1060-1068-1009-1008-1048-1049-1052-1051-1055</t>
  </si>
  <si>
    <t>ΚΟΣΜΑΣ</t>
  </si>
  <si>
    <t>ΑΑ050838</t>
  </si>
  <si>
    <t>690,8</t>
  </si>
  <si>
    <t>1398,8</t>
  </si>
  <si>
    <t>1062-1052-1051-1047-1009</t>
  </si>
  <si>
    <t>ΠΙΤΣΑΡΗΣ</t>
  </si>
  <si>
    <t>ΑΒ838556</t>
  </si>
  <si>
    <t>665,5</t>
  </si>
  <si>
    <t>1395,5</t>
  </si>
  <si>
    <t>ΝΟΚΕ</t>
  </si>
  <si>
    <t>ΓΙΩΡΓΟ</t>
  </si>
  <si>
    <t>ΑΙ994862</t>
  </si>
  <si>
    <t>872,3</t>
  </si>
  <si>
    <t>1394,3</t>
  </si>
  <si>
    <t>1005-1052-1051-1060-1055-1054-1064-1056-1009-1059-1066-1050-1062</t>
  </si>
  <si>
    <t>ΠΕΛΤΕΚΗ</t>
  </si>
  <si>
    <t>ΠΑΡΑΣΚΕΥΗ</t>
  </si>
  <si>
    <t>ΑΝ203173</t>
  </si>
  <si>
    <t>ΗΛΙΟΠΟΥΛΟΥ</t>
  </si>
  <si>
    <t>ΚΩΝΣΤΑΝΤΙΝΑ</t>
  </si>
  <si>
    <t>ΑΕ265521</t>
  </si>
  <si>
    <t>1382,3</t>
  </si>
  <si>
    <t>1060-1009-1005-1051-1052-1056-1054-1055-1059-1064-1066-1062-1050</t>
  </si>
  <si>
    <t>ΚΟΚΚΙΝΑΚΗΣ</t>
  </si>
  <si>
    <t>ΕΥΑΓΓΕΛΟΣ</t>
  </si>
  <si>
    <t>ΑΕ457252</t>
  </si>
  <si>
    <t>1373,4</t>
  </si>
  <si>
    <t>1053-1009-1068-1008</t>
  </si>
  <si>
    <t>ΖΩΓΡΑΦΑΚΗ</t>
  </si>
  <si>
    <t>ΕΥΛΑΜΠΙΑ</t>
  </si>
  <si>
    <t>ΑΕ473818</t>
  </si>
  <si>
    <t>695,2</t>
  </si>
  <si>
    <t>1373,2</t>
  </si>
  <si>
    <t>1068-1008-1009-1053-1051-1052-1055-1060-1054-1061-1007-1006-1005-1047-1048-1049-1067-1062-1063-1064-1056-1057-1058-1059-1050-1065-1066</t>
  </si>
  <si>
    <t>ΜΠΑΣΙΑΚΟΥΛΗΣ</t>
  </si>
  <si>
    <t>ΣΩΚΡΑΤΗΣ</t>
  </si>
  <si>
    <t>ΑΕ366151</t>
  </si>
  <si>
    <t>950,4</t>
  </si>
  <si>
    <t>1370,4</t>
  </si>
  <si>
    <t>1055-1064-1054-1056-1051-1052-1060-1005-1009-1059</t>
  </si>
  <si>
    <t>ΑΣΚΟΡΔΑΛΑΚΗ</t>
  </si>
  <si>
    <t>ΣΤΕΛΛΑ</t>
  </si>
  <si>
    <t>ΑΙ438919</t>
  </si>
  <si>
    <t>762,3</t>
  </si>
  <si>
    <t>1368,3</t>
  </si>
  <si>
    <t>ΜΥΡΓΙΩΤΗ</t>
  </si>
  <si>
    <t>ΟΛΓΑ</t>
  </si>
  <si>
    <t>ΑΙ318734</t>
  </si>
  <si>
    <t>657,8</t>
  </si>
  <si>
    <t>1365,8</t>
  </si>
  <si>
    <t>1006-1054-1055-1064-1005-1056-1059-1060-1066-1052-1051-1009-1050-1062</t>
  </si>
  <si>
    <t>ΤΟΤΟΥ</t>
  </si>
  <si>
    <t>ΕΙΡΗΝΗ</t>
  </si>
  <si>
    <t>ΑΑ441542</t>
  </si>
  <si>
    <t>864,6</t>
  </si>
  <si>
    <t>1364,6</t>
  </si>
  <si>
    <t>1062-1005-1006-1009-1051-1052-1054-1055-1056-1059-1060-1064</t>
  </si>
  <si>
    <t>ΜΠΑΛΑΣΚΑΣ</t>
  </si>
  <si>
    <t>ΖΑΧΑΡΙΑΣ</t>
  </si>
  <si>
    <t>ΑΜ759071</t>
  </si>
  <si>
    <t>973,5</t>
  </si>
  <si>
    <t>1353,5</t>
  </si>
  <si>
    <t>ΨΥΧΑ</t>
  </si>
  <si>
    <t>ΑΓΓΕΛΙΚΗ</t>
  </si>
  <si>
    <t>ΑΙ305877</t>
  </si>
  <si>
    <t>894,3</t>
  </si>
  <si>
    <t>1350,3</t>
  </si>
  <si>
    <t>1064-1066-1055-1054-1052-1051-1060-1059-1056-1062-1009-1005-1050</t>
  </si>
  <si>
    <t>ΠΑΠΑΖΩΤΟΥ</t>
  </si>
  <si>
    <t>ΜΑΡΙΑΝΑ</t>
  </si>
  <si>
    <t>ΘΕΜΙΣΤΟΚΛΗΣ</t>
  </si>
  <si>
    <t>ΑΙ250907</t>
  </si>
  <si>
    <t>1348,8</t>
  </si>
  <si>
    <t>1059-1056-1064-1050-1005-1009-1051-1055-1054-1060-1062-1066-1007-1008-1047-1048-1049-1053-1057-1058-1061-1063-1065-1067-1068</t>
  </si>
  <si>
    <t>ΦΑΝΤΗ</t>
  </si>
  <si>
    <t>ΑΘΑΝΑΣΙΑ</t>
  </si>
  <si>
    <t>ΑΕ171896</t>
  </si>
  <si>
    <t>1055-1054-1056-1059-1006-1064-1060-1051-1052-1050-1009-1066-1062-1005</t>
  </si>
  <si>
    <t>ΧΑΡΟΥΠΑ</t>
  </si>
  <si>
    <t>ΑΝΑΣΤΑΣΙΑ</t>
  </si>
  <si>
    <t>ΑΚ931636</t>
  </si>
  <si>
    <t>920,7</t>
  </si>
  <si>
    <t>1340,7</t>
  </si>
  <si>
    <t>1055-1054-1009</t>
  </si>
  <si>
    <t>ΚΑΡΑΝΙΚΟΛΑ</t>
  </si>
  <si>
    <t>ΣΤΑΜΑΤΙΑ</t>
  </si>
  <si>
    <t>ΑΙ285494</t>
  </si>
  <si>
    <t>1006-1064-1059-1056-1055-1054-1052-1051-1005-1060-1009-1066-1062</t>
  </si>
  <si>
    <t>ΖΕΡΒΟΥ</t>
  </si>
  <si>
    <t>ΑΗ463925</t>
  </si>
  <si>
    <t>699,6</t>
  </si>
  <si>
    <t>1337,6</t>
  </si>
  <si>
    <t>1053-1009-1008</t>
  </si>
  <si>
    <t>ΚΑΤΣΑΟΥΝΟΥ</t>
  </si>
  <si>
    <t>ΕΥΣΤΑΘΙΑ</t>
  </si>
  <si>
    <t>ΛΑΜΠΡΑΚΗΣ</t>
  </si>
  <si>
    <t>Μ808096</t>
  </si>
  <si>
    <t>981,2</t>
  </si>
  <si>
    <t>1337,2</t>
  </si>
  <si>
    <t>ΚΙΣΣΑ</t>
  </si>
  <si>
    <t>ΔΗΜΗΤΡΑ</t>
  </si>
  <si>
    <t>ΑΕ478828</t>
  </si>
  <si>
    <t>675,4</t>
  </si>
  <si>
    <t>1335,4</t>
  </si>
  <si>
    <t>1048-1047-1005-1006-1061-1057-1067-1007-1060-1051-1052-1054-1055-1056-1058-1059-1063-1064-1065-1049-1050-1008-1009-1053-1062-1068-1066</t>
  </si>
  <si>
    <t>ΖΟΜΠΟΥΛΗΣ</t>
  </si>
  <si>
    <t>ΠΕΤΡΟΣ</t>
  </si>
  <si>
    <t>Χ517322</t>
  </si>
  <si>
    <t>742,5</t>
  </si>
  <si>
    <t>1330,5</t>
  </si>
  <si>
    <t>1051-1052-1054-1055-1056-1059-1060-1064-1009-1005-1006</t>
  </si>
  <si>
    <t>ΜΑΚΗ</t>
  </si>
  <si>
    <t>ΑΚ377033</t>
  </si>
  <si>
    <t>691,9</t>
  </si>
  <si>
    <t>1329,9</t>
  </si>
  <si>
    <t>1005-1006-1007-1008-1009-1047-1048-1049-1050-1051-1052-1053-1054-1055-1056-1057-1058-1059-1060-1061</t>
  </si>
  <si>
    <t>ΜΑΖΑΡΑΚΗ</t>
  </si>
  <si>
    <t>ΓΑΒΡΙΕΛΑ</t>
  </si>
  <si>
    <t>ΛΑΜΠΡΟΣ</t>
  </si>
  <si>
    <t>Χ251625</t>
  </si>
  <si>
    <t>1007,6</t>
  </si>
  <si>
    <t>1327,6</t>
  </si>
  <si>
    <t>1006-1009-1005</t>
  </si>
  <si>
    <t>ΤΑΒΕΛΛΑΡΗΣ</t>
  </si>
  <si>
    <t>ΣΤΕΡΓΙΟΣ</t>
  </si>
  <si>
    <t>ΑΙ877235</t>
  </si>
  <si>
    <t>734,8</t>
  </si>
  <si>
    <t>1323,8</t>
  </si>
  <si>
    <t>1059-1055-1054-1064-1006-1056-1051-1052-1005-1060-1009</t>
  </si>
  <si>
    <t>ΑΝΤΩΝΙΑΔΗΣ</t>
  </si>
  <si>
    <t>ΗΛΙΑΣ</t>
  </si>
  <si>
    <t>Χ506321</t>
  </si>
  <si>
    <t>970,2</t>
  </si>
  <si>
    <t>1320,2</t>
  </si>
  <si>
    <t>1005-1006-1009-1050-1051-1052-1054-1055-1056-1059-1060-1062-1064-1066</t>
  </si>
  <si>
    <t>ΚΑΡΑΝΙΚΟΛΑΟΥ</t>
  </si>
  <si>
    <t>ΑΣΠΑΣΙΑ</t>
  </si>
  <si>
    <t>ΑΚ436858</t>
  </si>
  <si>
    <t>772,2</t>
  </si>
  <si>
    <t>1310,2</t>
  </si>
  <si>
    <t>1007-1008-1009</t>
  </si>
  <si>
    <t>ΑΛΕΞΟΠΟΥΛΟΥ</t>
  </si>
  <si>
    <t>ΗΛΙΑΝΝΑ</t>
  </si>
  <si>
    <t>ΚΥΡΙΑΚΟΣ</t>
  </si>
  <si>
    <t>ΑΙ210780</t>
  </si>
  <si>
    <t>1009-1050-1051-1052-1054-1055-1056-1059-1060-1062-1064-1066</t>
  </si>
  <si>
    <t>ΓΕΩΡΓΙΟΥ</t>
  </si>
  <si>
    <t>ΑΑ286026</t>
  </si>
  <si>
    <t>1064-1054-1055-1059-1005-1066-1051-1052-1056-1060-1062-1050-1009</t>
  </si>
  <si>
    <t>ΑΓΓΕΛΗ</t>
  </si>
  <si>
    <t>ΑΖ742742</t>
  </si>
  <si>
    <t>777,7</t>
  </si>
  <si>
    <t>1307,7</t>
  </si>
  <si>
    <t>1064-1006-1059-1055-1054-1060-1056-1005-1052-1009-1051-1066-1050-1062</t>
  </si>
  <si>
    <t>ΚΑΡΑΓΙΑΝΝΗ</t>
  </si>
  <si>
    <t>ΑΚ967275</t>
  </si>
  <si>
    <t>1298,5</t>
  </si>
  <si>
    <t>1061-1006-1064-1067-1007-1057-1054-1055-1056-1059-1005-1060-1009-1068-1048-1047-1008-1049-1051-1052-1053</t>
  </si>
  <si>
    <t>ΠΑΠΠΑ</t>
  </si>
  <si>
    <t>ΒΙΟΛΑΝΘΗ</t>
  </si>
  <si>
    <t>Τ881927</t>
  </si>
  <si>
    <t>871,2</t>
  </si>
  <si>
    <t>1291,2</t>
  </si>
  <si>
    <t>1052-1051-1005-1060-1054-1055-1056-1064-1059-1009-1050-1066-1062</t>
  </si>
  <si>
    <t>ΜΙΣΣΙΟΥ</t>
  </si>
  <si>
    <t>ΟΛΥΜΠΙΑ</t>
  </si>
  <si>
    <t>ΑΖ737064</t>
  </si>
  <si>
    <t>1020,8</t>
  </si>
  <si>
    <t>1290,8</t>
  </si>
  <si>
    <t>1054-1055-1056-1009-1051-1052-1006-1059-1005</t>
  </si>
  <si>
    <t>ΚΑΛΕΜΙΚΙΑΡΑΚΗ</t>
  </si>
  <si>
    <t>ΑΘΗΝΑ</t>
  </si>
  <si>
    <t>ΑΜ459360</t>
  </si>
  <si>
    <t>809,6</t>
  </si>
  <si>
    <t>1287,6</t>
  </si>
  <si>
    <t>ΜΟΥΛΙΚΑ</t>
  </si>
  <si>
    <t>ΑΜ703968</t>
  </si>
  <si>
    <t>1054-1055-1056-1064-1061-1006-1007-1057-1058-1067-1063-1065-1008-1009-1068-1053-1059-1051-1052-1050-1049-1048-1047-1005-1066-1062-1060</t>
  </si>
  <si>
    <t>ΛΑΜΠΑΘΑΚΗ</t>
  </si>
  <si>
    <t>ΑΝΝΑ ΕΥΤΕΡΠΗ</t>
  </si>
  <si>
    <t>Χ770234</t>
  </si>
  <si>
    <t>1282,5</t>
  </si>
  <si>
    <t>1054-1055-1056-1064-1059-1009</t>
  </si>
  <si>
    <t>ΚΑΦΑΝΤΑΡΗ</t>
  </si>
  <si>
    <t>ΧΡΙΣΤΙΝΑ</t>
  </si>
  <si>
    <t>ΑΚ660455</t>
  </si>
  <si>
    <t>1282,3</t>
  </si>
  <si>
    <t>1064-1006-1009-1051-1056-1066-1060-1055-1054-1059-1062</t>
  </si>
  <si>
    <t>ΠΑΠΑΝΤΩΝΙΟΥ</t>
  </si>
  <si>
    <t>ΑΑ304001</t>
  </si>
  <si>
    <t>1281,7</t>
  </si>
  <si>
    <t>1009-1005-1051-1052-1056-1054-1055-1059-1060-1064</t>
  </si>
  <si>
    <t>ΣΑΛΤΣΙΔΟΥ</t>
  </si>
  <si>
    <t>ΙΩΑΝΝΑ</t>
  </si>
  <si>
    <t>Χ393013</t>
  </si>
  <si>
    <t>ΔΡΑΚΟΥΛΑΚΗΣ</t>
  </si>
  <si>
    <t>Χ995695</t>
  </si>
  <si>
    <t>623,7</t>
  </si>
  <si>
    <t>1280,7</t>
  </si>
  <si>
    <t>1068-1008-1009-1053-1054-1055-1051-1052-1060-1067-1047-1048-1049-1056-1057-1059-1061-1064-1050-1058-1062-1063-1065-1066</t>
  </si>
  <si>
    <t>ΣΠΑΝΟΥ</t>
  </si>
  <si>
    <t>ΦΩΤΕΙΝΗ</t>
  </si>
  <si>
    <t>ΑΖ274944</t>
  </si>
  <si>
    <t>740,3</t>
  </si>
  <si>
    <t>1278,3</t>
  </si>
  <si>
    <t>1055-1059-1049-1056-1063-1064-1008-1009-1047-1048-1051-1052-1053-1060-1065-1066</t>
  </si>
  <si>
    <t>ΠΟΛΙΤΟΠΟΥΛΟΥ</t>
  </si>
  <si>
    <t>ΕΡΩΦΙΛΗ</t>
  </si>
  <si>
    <t>ΧΑΡΙΛΑΟΣ</t>
  </si>
  <si>
    <t>Χ029810</t>
  </si>
  <si>
    <t>854,7</t>
  </si>
  <si>
    <t>1274,7</t>
  </si>
  <si>
    <t>1006-1005-1009-1064-1060-1051-1052-1054-1055-1056-1059</t>
  </si>
  <si>
    <t>ΠΟΛΥΜΕΡΟΥ</t>
  </si>
  <si>
    <t>ΚΙΤΣΑ - ΜΑΡΙΝΑ</t>
  </si>
  <si>
    <t>ΑΙ978022</t>
  </si>
  <si>
    <t>867,9</t>
  </si>
  <si>
    <t>1272,9</t>
  </si>
  <si>
    <t>1052-1051-1009-1060-1056-1005-1006-1062-1054-1055-1059-1064-1050</t>
  </si>
  <si>
    <t>ΒΑΘΗ</t>
  </si>
  <si>
    <t>Χ312460</t>
  </si>
  <si>
    <t>887,7</t>
  </si>
  <si>
    <t>1270,7</t>
  </si>
  <si>
    <t>1009-1051-1052-1056-1064-1059</t>
  </si>
  <si>
    <t>ΔΑΣΚΑΛΑΚΗΣ</t>
  </si>
  <si>
    <t>ΑΙ446175</t>
  </si>
  <si>
    <t>1267,2</t>
  </si>
  <si>
    <t>1009-1051-1052-1054-1055-1056-1059-1060-1064</t>
  </si>
  <si>
    <t>ΣΑΜΨΩΝ</t>
  </si>
  <si>
    <t>ΑΖ970781</t>
  </si>
  <si>
    <t>ΓΡΟΥΣΔΑΝΗ</t>
  </si>
  <si>
    <t>ΣΟΥΛΤΑΝΑ</t>
  </si>
  <si>
    <t>ΦΩΤΙΟΣ</t>
  </si>
  <si>
    <t>Χ252201</t>
  </si>
  <si>
    <t>779,9</t>
  </si>
  <si>
    <t>1257,9</t>
  </si>
  <si>
    <t>1055-1068-1047-1061-1056-1064-1065-1063-1054-1059-1052-1051-1060-1067-1062-1066-1005-1006-1009</t>
  </si>
  <si>
    <t>ΚΩΣΤΑΚΗΣ</t>
  </si>
  <si>
    <t>1257,8</t>
  </si>
  <si>
    <t>1032-1009-1026-1028-1027-1029-1052-1051-1060-1033-1034-1055-1045-1041-1042-1064-1035-1037-1056-1059</t>
  </si>
  <si>
    <t>ΚΑΡΠΕΤΗ</t>
  </si>
  <si>
    <t>ΑΙ367423</t>
  </si>
  <si>
    <t>1256,8</t>
  </si>
  <si>
    <t>1055-1054-1056-1064-1059-1006-1009-1005-1050-1051-1052-1060-1066-1062</t>
  </si>
  <si>
    <t>ΝΤΑΒΑΛΙΑ</t>
  </si>
  <si>
    <t>ΑΒ108877</t>
  </si>
  <si>
    <t>876,7</t>
  </si>
  <si>
    <t>1256,7</t>
  </si>
  <si>
    <t>1051-1056-1009-1059-1064-1005</t>
  </si>
  <si>
    <t>ΚΑΡΑΓΙΑΝΝΑΚΙΔΟΥ</t>
  </si>
  <si>
    <t>ΑΒ109634</t>
  </si>
  <si>
    <t>985,6</t>
  </si>
  <si>
    <t>1255,6</t>
  </si>
  <si>
    <t>1054-1056-1064-1051-1009-1062-1049</t>
  </si>
  <si>
    <t>Μαυροματη</t>
  </si>
  <si>
    <t>Μαρια</t>
  </si>
  <si>
    <t>Δημητριος</t>
  </si>
  <si>
    <t>ΑΙ810936</t>
  </si>
  <si>
    <t>1054-1055-1064-1056-1059-1060-1051-1052-1009-1066-1050-1005</t>
  </si>
  <si>
    <t>ΑΖ293647</t>
  </si>
  <si>
    <t>1254,7</t>
  </si>
  <si>
    <t>1054-1055-1059-1064-1009-1066-1062-1051-1052-1056-1050-1060</t>
  </si>
  <si>
    <t>ΜΠΕΤΑ</t>
  </si>
  <si>
    <t>ΛΑΜΠΡΙΝΗ</t>
  </si>
  <si>
    <t>ΑΙ867851</t>
  </si>
  <si>
    <t>1251,8</t>
  </si>
  <si>
    <t>1007-1008-1009-1005-1047-1048-1049-1050-1051-1052-1053-1054-1055-1056-1057-1058-1059-1060-1061-1062-1063-1064-1065-1066-1067-1068</t>
  </si>
  <si>
    <t>ΤΣΙΚΟΥΡΑΚΗ</t>
  </si>
  <si>
    <t>ΚΑΤΕΡΙΝΑ</t>
  </si>
  <si>
    <t>Χ379591</t>
  </si>
  <si>
    <t>799,7</t>
  </si>
  <si>
    <t>1249,7</t>
  </si>
  <si>
    <t>1054-1055-1059-1051-1052-1009-1006-1056-1066-1005-1064-1050-1060-1062</t>
  </si>
  <si>
    <t>ΑΙΚΑΤΕΡΙΝΗ - ΜΑΡΙΑ</t>
  </si>
  <si>
    <t>ΑΖ637709</t>
  </si>
  <si>
    <t>878,9</t>
  </si>
  <si>
    <t>1248,9</t>
  </si>
  <si>
    <t>1060-1052-1051-1055-1059-1066-1009-1064</t>
  </si>
  <si>
    <t>ΒΑΡΒΕΡΗ</t>
  </si>
  <si>
    <t>ΜΑΡΙΑΝΘΗ</t>
  </si>
  <si>
    <t>ΑΕ849295</t>
  </si>
  <si>
    <t>808,5</t>
  </si>
  <si>
    <t>1246,5</t>
  </si>
  <si>
    <t>1005-1006-1007-1008-1009-1049-1050-1060-1061-1062-1063-1064-1065-1066-1067-1068</t>
  </si>
  <si>
    <t>ΑΘΑΝΑΣΙΑΔΗΣ</t>
  </si>
  <si>
    <t>ΑΗ046617</t>
  </si>
  <si>
    <t>636,9</t>
  </si>
  <si>
    <t>1244,9</t>
  </si>
  <si>
    <t>1007-1008-1009-1047-1048-1049-1050-1051-1052-1053-1054-1055-1056-1057-1058-1059-1060-1061-1062-1063-1064-1065-1066-1067-1068</t>
  </si>
  <si>
    <t>ΚΑΛΑΦΑΤΗ</t>
  </si>
  <si>
    <t>ΑΙΜΙΛΙΟΣ</t>
  </si>
  <si>
    <t>ΑΒ973642</t>
  </si>
  <si>
    <t>1244,3</t>
  </si>
  <si>
    <t>1009-1055-1054-1056-1052-1051-1059-1060-1064-1066-1062-1050</t>
  </si>
  <si>
    <t>ΧΡΥΣΙΔΗΣ</t>
  </si>
  <si>
    <t>ΑΒ114420</t>
  </si>
  <si>
    <t>755,7</t>
  </si>
  <si>
    <t>1243,7</t>
  </si>
  <si>
    <t>1055-1056-1059-1064-1066-1009-1051-1052-1060</t>
  </si>
  <si>
    <t>ΜΠΟΗΣ</t>
  </si>
  <si>
    <t>ΓΡΗΓΟΡΙΟΣ</t>
  </si>
  <si>
    <t>ΑΑ499936</t>
  </si>
  <si>
    <t>1242,5</t>
  </si>
  <si>
    <t>1009-1052-1051-1056-1059-1066-1064</t>
  </si>
  <si>
    <t>ΒΑΤΤΕΣ</t>
  </si>
  <si>
    <t>ΑΗ370513</t>
  </si>
  <si>
    <t>1056-1054-1064-1006-1009-1051-1052</t>
  </si>
  <si>
    <t>ΜΗΤΣΟΤΑΚΗ</t>
  </si>
  <si>
    <t>ΕΛΕΑΝΑ</t>
  </si>
  <si>
    <t>ΑΚ238019</t>
  </si>
  <si>
    <t>940,5</t>
  </si>
  <si>
    <t>1240,5</t>
  </si>
  <si>
    <t>1052-1051-1060-1005-1055-1064-1059-1056-1054-1009</t>
  </si>
  <si>
    <t>ΧΡΙΣΤΟΦΟΡΙΔΟΥ</t>
  </si>
  <si>
    <t>ΑΒΡΑΑΜ</t>
  </si>
  <si>
    <t>ΑΕ820056</t>
  </si>
  <si>
    <t>899,8</t>
  </si>
  <si>
    <t>1239,8</t>
  </si>
  <si>
    <t>1009-1006</t>
  </si>
  <si>
    <t>ΠΑΠΑΓΟΡΑ</t>
  </si>
  <si>
    <t>Φ277958</t>
  </si>
  <si>
    <t>789,8</t>
  </si>
  <si>
    <t>1055-1054-1058-1064-1063-1056-1059-1061-1006-1065-1067-1007-1057-1049-1050-1048-1047-1005-1060-1051-1052-1068-1008-1009-1053-1062-1066</t>
  </si>
  <si>
    <t>ΜΗΤΡΟΠΟΥΛΟΥ</t>
  </si>
  <si>
    <t>Σ023065</t>
  </si>
  <si>
    <t>ΖΙΩΓΑ</t>
  </si>
  <si>
    <t>ΑΒ804613</t>
  </si>
  <si>
    <t>938,3</t>
  </si>
  <si>
    <t>1238,3</t>
  </si>
  <si>
    <t>1059-1060-1055-1054-1064-1056-1005-1050-1051-1052-1066-1009-1062</t>
  </si>
  <si>
    <t>ΑΚ076901</t>
  </si>
  <si>
    <t>1236,8</t>
  </si>
  <si>
    <t>ΠΕΤΡΟΠΟΥΛΟΥ</t>
  </si>
  <si>
    <t>Χ271159</t>
  </si>
  <si>
    <t>855,8</t>
  </si>
  <si>
    <t>1235,8</t>
  </si>
  <si>
    <t>1055-1054-1060-1052-1051-1068-1061-1053-1064-1067-1049-1007-1006-1056-1009-1008-1005-1047-1048-1059-1057-1066-1065-1063-1058-1050-1062</t>
  </si>
  <si>
    <t>ΕΥΘΥΜΙΑΔΗΣ</t>
  </si>
  <si>
    <t>ΑΗ877449</t>
  </si>
  <si>
    <t>1232,3</t>
  </si>
  <si>
    <t>1056-1052-1051-1009-1064-1060-1059-1054-1055</t>
  </si>
  <si>
    <t>ΚΟΚΚΑ</t>
  </si>
  <si>
    <t>ΑΖ272319</t>
  </si>
  <si>
    <t>1230,3</t>
  </si>
  <si>
    <t>1051-1052-1055-1059-1056-1060-1064-1066-1009</t>
  </si>
  <si>
    <t>ΝΙΚΟΥ</t>
  </si>
  <si>
    <t>ΑΙ253873</t>
  </si>
  <si>
    <t>ΠΑΖΙΩΝΗ</t>
  </si>
  <si>
    <t>ΑΝΕΣΤΗΣ</t>
  </si>
  <si>
    <t>ΑΝ703886</t>
  </si>
  <si>
    <t>1229,7</t>
  </si>
  <si>
    <t>1055-1054-1056-1064-1061-1007-1059-1008-1009-1053-1067</t>
  </si>
  <si>
    <t>ΜΟΥΤΟΣ</t>
  </si>
  <si>
    <t>ΛΟΥΚΑΣ</t>
  </si>
  <si>
    <t>958,1</t>
  </si>
  <si>
    <t>1228,1</t>
  </si>
  <si>
    <t>1005-1051-1052-1054-1055-1064-1006-1059-1060-1050-1009-1066-1056-1062</t>
  </si>
  <si>
    <t>ΤΕΚΝΙΔΟΥ</t>
  </si>
  <si>
    <t>ΑΙ717977</t>
  </si>
  <si>
    <t>768,9</t>
  </si>
  <si>
    <t>1226,9</t>
  </si>
  <si>
    <t>ΧΑΤΖΗΓΕΩΡΓΙΟΥ</t>
  </si>
  <si>
    <t>ΑΓΓΕΛΑ</t>
  </si>
  <si>
    <t>ΑΙ621778</t>
  </si>
  <si>
    <t>1226,2</t>
  </si>
  <si>
    <t>ΜΠΟΥΣΙΟΣ</t>
  </si>
  <si>
    <t>ΑΡΙΣΤΕΙΔΗΣ</t>
  </si>
  <si>
    <t>ΑΖ981596</t>
  </si>
  <si>
    <t>1009-1051-1052-1054-1055-1059-1060-1064</t>
  </si>
  <si>
    <t>ΔΗΜΗΚΑ</t>
  </si>
  <si>
    <t>ΑΡΓΥΡΙΟΣ</t>
  </si>
  <si>
    <t>ΑΕ671846</t>
  </si>
  <si>
    <t>904,2</t>
  </si>
  <si>
    <t>1224,2</t>
  </si>
  <si>
    <t>1005-1009-1050-1057-1051-1052-1053-1054-1055-1056-1059-1060-1062-1064-1066-1068</t>
  </si>
  <si>
    <t>ΓΙΑΝΝΑΡΟΥ</t>
  </si>
  <si>
    <t>ΛΕΥΚΟΘΕΑ</t>
  </si>
  <si>
    <t>Χ088271</t>
  </si>
  <si>
    <t>801,9</t>
  </si>
  <si>
    <t>1221,9</t>
  </si>
  <si>
    <t>1055-1054-1064-1063-1058-1065-1061-1059-1056-1067-1007-1057-1050-1048-1047-1005-1051-1052-1060-1049-1066-1068-1053-1008-1009-1062</t>
  </si>
  <si>
    <t>ΓΙΑΝΝΑΚΑΚΟΥ</t>
  </si>
  <si>
    <t>Χ986306</t>
  </si>
  <si>
    <t>683,1</t>
  </si>
  <si>
    <t>1221,1</t>
  </si>
  <si>
    <t>1048-1054-1055-1008-1068-1009-1053-1067-1007-1047-1061-1057-1060-1049-1052-1051-1066-1056-1059-1064-1065-1058-1063-1062-1050</t>
  </si>
  <si>
    <t>ΣΑΙΤΗ</t>
  </si>
  <si>
    <t>ΑΜ986536</t>
  </si>
  <si>
    <t>1218,3</t>
  </si>
  <si>
    <t>1048-1052-1057-1067-1007-1008-1060-1066-1009-1053-1064-1063-1061-1054-1055-1051-1049</t>
  </si>
  <si>
    <t>ΜΠΙΛΤΣΑΡΙ</t>
  </si>
  <si>
    <t>ΕΒΙΣΑ</t>
  </si>
  <si>
    <t>ΑΠΟΣΤΟΛ</t>
  </si>
  <si>
    <t>ΑΝ333512</t>
  </si>
  <si>
    <t>1216,3</t>
  </si>
  <si>
    <t>1005-1051-1059-1063-1064-1066-1067-1049-1050-1008-1052-1053-1054-1055-1056-1057-1058-1009-1060-1006-1047-1048-1061-1062-1065-1068</t>
  </si>
  <si>
    <t>ΚΡΗΝΙΔΗ</t>
  </si>
  <si>
    <t>ΕΙΡΗΝΗ ΔΑΝΑΗ</t>
  </si>
  <si>
    <t>Φ438934</t>
  </si>
  <si>
    <t>905,3</t>
  </si>
  <si>
    <t>1215,3</t>
  </si>
  <si>
    <t>1004-1060-1049-1005-1047-1048-1051-1052-1006-1061-1057-1007-1067-1054-1055-1059-1064-1056-1009-1053-1008-1068</t>
  </si>
  <si>
    <t>ΚΑΡΑΓΙΑΝΝΙΔΟΥ</t>
  </si>
  <si>
    <t>ΑΕ361119</t>
  </si>
  <si>
    <t>944,9</t>
  </si>
  <si>
    <t>1214,9</t>
  </si>
  <si>
    <t>1054-1055-1064-1006-1059-1056-1051-1052-1005-1060-1009</t>
  </si>
  <si>
    <t>ΠΑΝΔΡΕΜΜΕΝΟΥ</t>
  </si>
  <si>
    <t>ΑΙ842581</t>
  </si>
  <si>
    <t>744,7</t>
  </si>
  <si>
    <t>1214,7</t>
  </si>
  <si>
    <t>1049-1050-1051-1052-1053-1054-1055-1056-1057-1058-1059-1060-1061-1062-1063-1064-1066-1067-1068-1006-1007-1008-1009-1047-1048</t>
  </si>
  <si>
    <t>ΜΥΛΩΝΑ</t>
  </si>
  <si>
    <t>Χ736870</t>
  </si>
  <si>
    <t>1210,7</t>
  </si>
  <si>
    <t>ΠΕΤΡΑΚΗΣ</t>
  </si>
  <si>
    <t>ΑΜ456528</t>
  </si>
  <si>
    <t>1210,2</t>
  </si>
  <si>
    <t>ΚΑΡΑΚΑΣΗ</t>
  </si>
  <si>
    <t>ΑΒ860415</t>
  </si>
  <si>
    <t>ΚΑΝΤΟΥΡΗΣ</t>
  </si>
  <si>
    <t>Ρ180526</t>
  </si>
  <si>
    <t>1055-1054-1063-1064-1065-1056-1059-1067-1057-1060-1052-1007-1066-1068-1009-1048-1047-1005-1008-1049-1050-1051-1053-1062-1061-1058</t>
  </si>
  <si>
    <t>ΚΑΖΑΚΟΥ</t>
  </si>
  <si>
    <t>ΑΙ399186</t>
  </si>
  <si>
    <t>783,2</t>
  </si>
  <si>
    <t>1203,2</t>
  </si>
  <si>
    <t>1009-1056-1050-1055-1054-1059-1051-1052-1062-1064-1066-1006-1005</t>
  </si>
  <si>
    <t>ΠΑΟΥΛΙΝΟΥ</t>
  </si>
  <si>
    <t>ΑΡΤΕΜΙΣ</t>
  </si>
  <si>
    <t>ΑΜ309802</t>
  </si>
  <si>
    <t>862,4</t>
  </si>
  <si>
    <t>1202,4</t>
  </si>
  <si>
    <t>1068-1053-1008-1009-1049-1060-1062-1066-1052-1051-1056-1048-1054-1055-1057-1007-1067-1065-1064-1063-1061-1059-1058-1050-1047</t>
  </si>
  <si>
    <t>ΓΑΡΑΦΑΣ</t>
  </si>
  <si>
    <t>ΑΖ240948</t>
  </si>
  <si>
    <t>1202,1</t>
  </si>
  <si>
    <t>1059-1060-1064-1005-1051-1052-1056-1066-1009-1050-1007-1008-1048-1049-1057-1058-1067-1068</t>
  </si>
  <si>
    <t>ΒΟΥΛΓΑΡΗ</t>
  </si>
  <si>
    <t>ΘΕΟΔΩΡΑ ΑΝΝΑ</t>
  </si>
  <si>
    <t>Χ814235</t>
  </si>
  <si>
    <t>1047-1048-1051-1052-1005-1061-1060-1067-1054-1055-1057-1049-1007-1006-1056-1053-1008-1009-1068-1064-1059</t>
  </si>
  <si>
    <t>ΜΠΑΝΤΗ</t>
  </si>
  <si>
    <t>ΑΕ839112</t>
  </si>
  <si>
    <t>1201,4</t>
  </si>
  <si>
    <t>1008-1064-1061-1055-1056-1059-1049-1053-1060-1051-1052-1009-1068</t>
  </si>
  <si>
    <t>ΜΑΘΙΟΥΔΑΚΗΣ</t>
  </si>
  <si>
    <t>ΑΕ468022</t>
  </si>
  <si>
    <t>1008-1009-1053-1068</t>
  </si>
  <si>
    <t>ΜΠΙΝΙΕΡΗ</t>
  </si>
  <si>
    <t>ΑΗ711929</t>
  </si>
  <si>
    <t>1199,4</t>
  </si>
  <si>
    <t>1005-1006-1009</t>
  </si>
  <si>
    <t>ΦΡΑΓΚΑΚΗ</t>
  </si>
  <si>
    <t>ΑΗ160983</t>
  </si>
  <si>
    <t>838,2</t>
  </si>
  <si>
    <t>1198,2</t>
  </si>
  <si>
    <t>1055-1054-1064-1056-1059-1006-1009</t>
  </si>
  <si>
    <t>ΛΕΓΟΣ</t>
  </si>
  <si>
    <t>Τ394522</t>
  </si>
  <si>
    <t>856,9</t>
  </si>
  <si>
    <t>1196,9</t>
  </si>
  <si>
    <t>1059-1064-1051-1052-1054-1055-1056-1060-1009</t>
  </si>
  <si>
    <t>ΜΠΥΖΥΚΑ</t>
  </si>
  <si>
    <t>ΓΡΗΓΟΡΗΣ</t>
  </si>
  <si>
    <t>ΑΚ413508</t>
  </si>
  <si>
    <t>796,4</t>
  </si>
  <si>
    <t>1196,4</t>
  </si>
  <si>
    <t>1009-1047-1048</t>
  </si>
  <si>
    <t>ΣΑΡΡΗ</t>
  </si>
  <si>
    <t>ΣΤΑΥΡΟΥΛΑ</t>
  </si>
  <si>
    <t>ΣΤΑΥΡΟΣ</t>
  </si>
  <si>
    <t>ΑΜ464171</t>
  </si>
  <si>
    <t>1196,2</t>
  </si>
  <si>
    <t>ΜΠΑΡΝΙΑΣ</t>
  </si>
  <si>
    <t>ΣΠΥΡΙΔΩΝ</t>
  </si>
  <si>
    <t>ΑΕ620726</t>
  </si>
  <si>
    <t>ΠΑΝΤΕΛΙΔΗΣ</t>
  </si>
  <si>
    <t>ΑΕ828909</t>
  </si>
  <si>
    <t>773,3</t>
  </si>
  <si>
    <t>1193,3</t>
  </si>
  <si>
    <t>1059-1054-1055-1064-1056-1006-1051-1052-1005-1060-1009</t>
  </si>
  <si>
    <t>ΤΖΙΟΥΤΖΙΑΣ</t>
  </si>
  <si>
    <t>Ε0245</t>
  </si>
  <si>
    <t>852,5</t>
  </si>
  <si>
    <t>1192,5</t>
  </si>
  <si>
    <t>ΑΒΡΑΜΑΚΗ</t>
  </si>
  <si>
    <t>ΙΔΟΜΕΝΕΑΣ</t>
  </si>
  <si>
    <t>ΑΑ368987</t>
  </si>
  <si>
    <t>1192,2</t>
  </si>
  <si>
    <t>ΑΓΑΠΗΤΟΣ</t>
  </si>
  <si>
    <t xml:space="preserve">ΟΡΕΣΤΗΣ </t>
  </si>
  <si>
    <t>ΧΡΙΣΤΟΔΟΥΛΟΣ</t>
  </si>
  <si>
    <t>ΑΗ075296</t>
  </si>
  <si>
    <t>892,1</t>
  </si>
  <si>
    <t>1192,1</t>
  </si>
  <si>
    <t>ΧΑΤΖΗ</t>
  </si>
  <si>
    <t>ΜΑΡΙΑ-ΕΙΡΗΝΗ</t>
  </si>
  <si>
    <t>ΑΜ746419</t>
  </si>
  <si>
    <t>1191,4</t>
  </si>
  <si>
    <t>ΠΑΠΑΔΟΠΟΥΛΟΣ</t>
  </si>
  <si>
    <t>ΑΙ084193</t>
  </si>
  <si>
    <t>1191,2</t>
  </si>
  <si>
    <t>1051-1052-1005-1060-1006-1056-1054-1055-1064-1009-1059-1050-1066-1062</t>
  </si>
  <si>
    <t>ΤΣΙΣΚΑΚΗ</t>
  </si>
  <si>
    <t>ΑΒ974990</t>
  </si>
  <si>
    <t>1068-1008-1009-1053-1049-1052-1051-1060-1062-1054-1055-1064-1066-1006-1005-1056-1059-1050-1063</t>
  </si>
  <si>
    <t>ΑΕ462511</t>
  </si>
  <si>
    <t>1189,6</t>
  </si>
  <si>
    <t>ΤΣΑΚΑΝΙΚΑ</t>
  </si>
  <si>
    <t>Χ929593</t>
  </si>
  <si>
    <t>818,4</t>
  </si>
  <si>
    <t>1188,4</t>
  </si>
  <si>
    <t>1009-1006-1050-1051-1055-1052-1056-1057-1058-1059-1060-1062-1064-1066</t>
  </si>
  <si>
    <t>ΑΡΚΟΥΜΑΝΗΣ</t>
  </si>
  <si>
    <t>ΘΕΜΙΣΤΟΚΛΗΣ-ΑΛΕΞΑΝΔΡΟΣ</t>
  </si>
  <si>
    <t>Τ987097</t>
  </si>
  <si>
    <t>1187,3</t>
  </si>
  <si>
    <t>1005-1006-1059-1054-1055-1009-1051-1052-1056-1060-1064-1066-1062</t>
  </si>
  <si>
    <t>ΤΣΑΠΑΤΣΑΡΗ</t>
  </si>
  <si>
    <t>ΠΑΝΑΓΙΩΤΑ</t>
  </si>
  <si>
    <t>ΑΑ335453</t>
  </si>
  <si>
    <t>776,6</t>
  </si>
  <si>
    <t>1186,6</t>
  </si>
  <si>
    <t>1059-1054-1055-1007-1067-1061-1056-1057-1064-1050-1051-1052-1047-1048-1049-1060-1053-1008-1009-1005</t>
  </si>
  <si>
    <t>ΚΛΑΟΥΔΑΤΟΥ</t>
  </si>
  <si>
    <t>ΚΛΑΟΥΔΗΣ</t>
  </si>
  <si>
    <t>Χ016540</t>
  </si>
  <si>
    <t>1185,2</t>
  </si>
  <si>
    <t>1052-1051-1060-1064-1055-1056-1059-1009-1066</t>
  </si>
  <si>
    <t>ΜΑΡΑΓΚΑΚΗΣ</t>
  </si>
  <si>
    <t>ΑΙ976859</t>
  </si>
  <si>
    <t>ΚΡΑΣΟΠΟΥΛΟΣ</t>
  </si>
  <si>
    <t>ΕΥΣΤΑΘΙΟΣ</t>
  </si>
  <si>
    <t>ΑΒ738105</t>
  </si>
  <si>
    <t>914,1</t>
  </si>
  <si>
    <t>1184,1</t>
  </si>
  <si>
    <t>1056-1054-1055-1064-1059-1052-1005-1051-1060-1009</t>
  </si>
  <si>
    <t>ΣΙΑΒΒΑΣ</t>
  </si>
  <si>
    <t>ΑΒ145835</t>
  </si>
  <si>
    <t>911,9</t>
  </si>
  <si>
    <t>1181,9</t>
  </si>
  <si>
    <t>1054-1055-1064-1056-1059-1009-1005-1051-1052-1060</t>
  </si>
  <si>
    <t>ΓΕΩΡΓΙΑΔΟΥ</t>
  </si>
  <si>
    <t>Ρ971345</t>
  </si>
  <si>
    <t>910,8</t>
  </si>
  <si>
    <t>1180,8</t>
  </si>
  <si>
    <t>1005-1006-1007-1008-1009-1049-1050-1051-1052-1053-1054-1055-1056-1057-1058-1059-1060-1061-1062-1063-1064-1065-1066-1067-1068</t>
  </si>
  <si>
    <t>ΚΟΥΜΑΣΙΤΗ</t>
  </si>
  <si>
    <t>ΑΒ599584</t>
  </si>
  <si>
    <t>1180,6</t>
  </si>
  <si>
    <t>ΟΙΚΟΝΟΜΟΥ</t>
  </si>
  <si>
    <t>ΜΑΓΔΑΛΙΝΗ</t>
  </si>
  <si>
    <t>ΕΥΘΥΜΙΟΣ</t>
  </si>
  <si>
    <t>ΑΚ411846</t>
  </si>
  <si>
    <t>672,1</t>
  </si>
  <si>
    <t>1180,1</t>
  </si>
  <si>
    <t>1064-1066-1054-1055-1059-1051-1052-1005-1060-1056-1009-1062-1050</t>
  </si>
  <si>
    <t>ΠΑΠΑΔΟΠΟΥΛΟΥ</t>
  </si>
  <si>
    <t>ΑΗ003175</t>
  </si>
  <si>
    <t>1178,9</t>
  </si>
  <si>
    <t>1009-1051-1052-1064-1066</t>
  </si>
  <si>
    <t>ΚΑΦΕΤΖΗ</t>
  </si>
  <si>
    <t>Χ991568</t>
  </si>
  <si>
    <t>823,9</t>
  </si>
  <si>
    <t>1054-1055-1056-1059-1064-1006-1009-1005-1051-1052-1060-1066-1050-1062</t>
  </si>
  <si>
    <t>ΜΑΝΩΛΗ</t>
  </si>
  <si>
    <t>ΑΝΤΙΓΟΝΗ</t>
  </si>
  <si>
    <t>ΑΖ783334</t>
  </si>
  <si>
    <t>1176,7</t>
  </si>
  <si>
    <t>1055-1054-1060-1009-1066-1059-1056</t>
  </si>
  <si>
    <t>ΡΑΙΝΑΚΗΣ</t>
  </si>
  <si>
    <t>ΑΙ889502</t>
  </si>
  <si>
    <t>834,9</t>
  </si>
  <si>
    <t>1174,9</t>
  </si>
  <si>
    <t>1056-1055-1064-1059-1007-1067-1051-1052-1005-1048-1060-1009-1053-1068</t>
  </si>
  <si>
    <t>ΜΙΧΑΛΑΚΗ</t>
  </si>
  <si>
    <t>ΑΙ368666</t>
  </si>
  <si>
    <t>696,3</t>
  </si>
  <si>
    <t>1174,3</t>
  </si>
  <si>
    <t>1054-1055-1056-1052-1051-1009-1050-1006-1005-1059-1060-1062-1064-1066</t>
  </si>
  <si>
    <t>ΤΣΑΛΙΚΗΣ</t>
  </si>
  <si>
    <t>ΣΩΤΗΡΙΟΣ</t>
  </si>
  <si>
    <t>ΑΜ682264</t>
  </si>
  <si>
    <t>1174,2</t>
  </si>
  <si>
    <t>1054-1055-1064-1056-1059-1005-1051-1052-1060-1009</t>
  </si>
  <si>
    <t>ΝΤΑΚΟΥΛΑ</t>
  </si>
  <si>
    <t>ΕΛΕΝΑ</t>
  </si>
  <si>
    <t>ΑΗ237300</t>
  </si>
  <si>
    <t>903,1</t>
  </si>
  <si>
    <t>1173,1</t>
  </si>
  <si>
    <t>1054-1055-1059-1064-1056-1050-1051-1052-1005-1060-1066-1009</t>
  </si>
  <si>
    <t>ΠΑΠΑΓΙΑΝΝΗΣ</t>
  </si>
  <si>
    <t>ΑΕ203477</t>
  </si>
  <si>
    <t>822,8</t>
  </si>
  <si>
    <t>1172,8</t>
  </si>
  <si>
    <t>ΕΜΜΑΝΟΥΗΛΙΔΟΥ</t>
  </si>
  <si>
    <t>ΑΕ919052</t>
  </si>
  <si>
    <t>1168,2</t>
  </si>
  <si>
    <t>1050-1056-1055-1054-1059-1006-1064-1060-1052-1051-1005-1009-1066-1062</t>
  </si>
  <si>
    <t>ΜΠΑΛΑΤΣΟΣ</t>
  </si>
  <si>
    <t>ΒΑ'Ι'ΟΣ</t>
  </si>
  <si>
    <t>ΑΜ389599</t>
  </si>
  <si>
    <t>966,9</t>
  </si>
  <si>
    <t>1166,9</t>
  </si>
  <si>
    <t>ΓΕΩΡΓΑΚΟΠΟΥΛΟΥ</t>
  </si>
  <si>
    <t>ΘΕΩΝΗ</t>
  </si>
  <si>
    <t>ΑΕ221965</t>
  </si>
  <si>
    <t>1006-1009-1008-1005</t>
  </si>
  <si>
    <t>ΕΙΡΗΝΗ-ΜΑΡΙΝΑ</t>
  </si>
  <si>
    <t>ΑΒ409723</t>
  </si>
  <si>
    <t>784,3</t>
  </si>
  <si>
    <t>1164,3</t>
  </si>
  <si>
    <t>1059-1064-1057-1060-1054-1055-1056-1051-1052-1009-1005</t>
  </si>
  <si>
    <t>ΠΑΓΚΑΡΛΙΩΤΑ</t>
  </si>
  <si>
    <t>ΑΙ325005</t>
  </si>
  <si>
    <t>706,2</t>
  </si>
  <si>
    <t>1164,2</t>
  </si>
  <si>
    <t>1059-1054-1055-1064-1056-1051-1052-1009-1005-1060</t>
  </si>
  <si>
    <t>ΜΠΡΙΑΝΗ</t>
  </si>
  <si>
    <t>ΑΝ262929</t>
  </si>
  <si>
    <t>1049-1009-1051-1052-1056-1059-1064</t>
  </si>
  <si>
    <t>ΣΜΥΡΝΑΙΟΥ</t>
  </si>
  <si>
    <t>ΣΤΑΥΡΟΥΛΑ ΒΑΣΙΛΙΚΗ</t>
  </si>
  <si>
    <t>Φ441604</t>
  </si>
  <si>
    <t>811,8</t>
  </si>
  <si>
    <t>1161,8</t>
  </si>
  <si>
    <t>1052-1051-1005-1060-1054-1055-1064-1059-1056-1009</t>
  </si>
  <si>
    <t>ΚΑΚΟΥΡΗ</t>
  </si>
  <si>
    <t>Χ595313</t>
  </si>
  <si>
    <t>1053-1009</t>
  </si>
  <si>
    <t>ΠΟΛΥΖΟΥ</t>
  </si>
  <si>
    <t>ΑΒ428194</t>
  </si>
  <si>
    <t>859,1</t>
  </si>
  <si>
    <t>1159,1</t>
  </si>
  <si>
    <t>1051-1052-1060-1064-1059-1055-1054-1056-1009-1066-1062</t>
  </si>
  <si>
    <t>ΛΥΔΑΚΗ</t>
  </si>
  <si>
    <t>ΑΜ457535</t>
  </si>
  <si>
    <t>ΤΣΑΜΠΗ</t>
  </si>
  <si>
    <t>ΑΝ028931</t>
  </si>
  <si>
    <t>1157,6</t>
  </si>
  <si>
    <t>ΓΡΗΓΟΡΙΑΔΟΥ</t>
  </si>
  <si>
    <t>ΜΑΡΙΑ ΣΟΦΙΑ</t>
  </si>
  <si>
    <t>ΠΑΝΤΕΛΗΣ</t>
  </si>
  <si>
    <t>ΑΜ657680</t>
  </si>
  <si>
    <t>745,8</t>
  </si>
  <si>
    <t>1155,8</t>
  </si>
  <si>
    <t>1054-1055-1064-1056-1059-1005-1051-1052-1066-1009-1062</t>
  </si>
  <si>
    <t>ΡΙΖΟΥ</t>
  </si>
  <si>
    <t>ΜΑΡΙΑ-ΕΛΕΝΗ</t>
  </si>
  <si>
    <t>ΑΝΑΡΓΥΡΟΣ</t>
  </si>
  <si>
    <t>Χ482572</t>
  </si>
  <si>
    <t>1154,7</t>
  </si>
  <si>
    <t>ΠΛΑΤΣΑΚΗΣ</t>
  </si>
  <si>
    <t>ΑΝ439329</t>
  </si>
  <si>
    <t>ΦΙΛΟΘΕΗ</t>
  </si>
  <si>
    <t>ΑΖ314469</t>
  </si>
  <si>
    <t>1152,2</t>
  </si>
  <si>
    <t>1064-1055-1056-1059-1051-1052-1009</t>
  </si>
  <si>
    <t>ΖΗΣΚΑΣ</t>
  </si>
  <si>
    <t>Φ464062</t>
  </si>
  <si>
    <t>1056-1054-1055-1009-1064-1006-1059-1050-1005-1051-1052-1060-1062</t>
  </si>
  <si>
    <t>ΕΥΘΑΛΙΤΣΙΔΟΥ</t>
  </si>
  <si>
    <t>Φ275339</t>
  </si>
  <si>
    <t>729,3</t>
  </si>
  <si>
    <t>1149,3</t>
  </si>
  <si>
    <t>1059-1054-1055-1056-1061-1064-1067-1065-1063-1057-1058-1007-1048-1005-1008-1009-1049-1050-1051-1052-1047-1060-1066-1053-1068-1062</t>
  </si>
  <si>
    <t>ΦΑΛΑΡΑ</t>
  </si>
  <si>
    <t>ΑΓΛΑΙΑ</t>
  </si>
  <si>
    <t>Χ374309</t>
  </si>
  <si>
    <t>1052-1051-1064-1059-1055-1054-1066-1060-1056-1050-1009-1062</t>
  </si>
  <si>
    <t>ΝΑΚΟΥ</t>
  </si>
  <si>
    <t>ΜΑΓΔΑΛΗΝΗ</t>
  </si>
  <si>
    <t>ΑΝ442755</t>
  </si>
  <si>
    <t>882,2</t>
  </si>
  <si>
    <t>1149,2</t>
  </si>
  <si>
    <t>ΜΑΥΡΟΚΟΥΚΟΥΛΑΚΗΣ</t>
  </si>
  <si>
    <t>ΑΑ464859</t>
  </si>
  <si>
    <t>1147,8</t>
  </si>
  <si>
    <t>1009-1060-1054-1055-1056-1005-1051-1052-1006-1062-1066-1064-1059-1050</t>
  </si>
  <si>
    <t>ΑΗ989318</t>
  </si>
  <si>
    <t>1147,3</t>
  </si>
  <si>
    <t>1051-1052-1060-1064-1056-1059-1062-1009-1005</t>
  </si>
  <si>
    <t>ΠΑΤΕΡΑΚΗ</t>
  </si>
  <si>
    <t>Χ851401</t>
  </si>
  <si>
    <t>717,2</t>
  </si>
  <si>
    <t>1147,2</t>
  </si>
  <si>
    <t>ΣΑΡΙΔΑΚΗ</t>
  </si>
  <si>
    <t>ΝΑΤΑΛΙΑ</t>
  </si>
  <si>
    <t>ΑΒ959425</t>
  </si>
  <si>
    <t>712,8</t>
  </si>
  <si>
    <t>1146,8</t>
  </si>
  <si>
    <t>ΣΕΡΛΗ</t>
  </si>
  <si>
    <t>ΑΒ630719</t>
  </si>
  <si>
    <t>806,3</t>
  </si>
  <si>
    <t>1146,3</t>
  </si>
  <si>
    <t>ΑΠΟΛΛΩΝ</t>
  </si>
  <si>
    <t>ΑΒ161295</t>
  </si>
  <si>
    <t>826,1</t>
  </si>
  <si>
    <t>1146,1</t>
  </si>
  <si>
    <t>1054-1065-1063-1055-1056-1059-1064-1006-1007-1048-1067-1052-1009</t>
  </si>
  <si>
    <t>ΚΕΦΑΛΑ</t>
  </si>
  <si>
    <t>Τ229720</t>
  </si>
  <si>
    <t>845,9</t>
  </si>
  <si>
    <t>1145,9</t>
  </si>
  <si>
    <t>ΝΤΑΙΦΑΣ</t>
  </si>
  <si>
    <t>ΑΙ593800</t>
  </si>
  <si>
    <t>975,7</t>
  </si>
  <si>
    <t>1145,7</t>
  </si>
  <si>
    <t>ΒΟΥΖΑ</t>
  </si>
  <si>
    <t>ΗΛΙΑΝΑ</t>
  </si>
  <si>
    <t>Χ869653</t>
  </si>
  <si>
    <t>875,6</t>
  </si>
  <si>
    <t>1145,6</t>
  </si>
  <si>
    <t>1056-1054-1055-1064-1006-1050-1059-1051-1052-1005-1062-1060-1066-1009</t>
  </si>
  <si>
    <t>ΡΟΥΣΑΚΗΣ</t>
  </si>
  <si>
    <t>ΑΗ104494</t>
  </si>
  <si>
    <t>1144,2</t>
  </si>
  <si>
    <t>ΠΟΥΛΟΡΙΝΑΚΗ</t>
  </si>
  <si>
    <t>ΕΛΕΥΘΕΡΙΑ</t>
  </si>
  <si>
    <t>ΙΩΣΗΦ</t>
  </si>
  <si>
    <t>ΑΜ466201</t>
  </si>
  <si>
    <t>ΠΑΣΧΟΥΔΗ</t>
  </si>
  <si>
    <t>ΝΙΚΟΛΕΤΑ</t>
  </si>
  <si>
    <t>ΑΗ165250</t>
  </si>
  <si>
    <t>1144,1</t>
  </si>
  <si>
    <t>1006-1009</t>
  </si>
  <si>
    <t>Χ956772</t>
  </si>
  <si>
    <t>1064-1061-1056-1054-1067-1007-1052-1051-1058-1059-1065-1060-1063-1009</t>
  </si>
  <si>
    <t>ΜΕΡΚΟΥΛΙΔH</t>
  </si>
  <si>
    <t>ΜΑΡΙΝΑ</t>
  </si>
  <si>
    <t>ΑΜ952356</t>
  </si>
  <si>
    <t>1141,9</t>
  </si>
  <si>
    <t>ΚΑΡΑΜΠΙΝΗΣ</t>
  </si>
  <si>
    <t>ΑΕ277443</t>
  </si>
  <si>
    <t>821,7</t>
  </si>
  <si>
    <t>1141,7</t>
  </si>
  <si>
    <t>ΤΑΛΙΑΝΝΗ</t>
  </si>
  <si>
    <t>ΜΙΛΤΙΑΔΗΣ</t>
  </si>
  <si>
    <t>ΑΚ133505</t>
  </si>
  <si>
    <t>1141,2</t>
  </si>
  <si>
    <t>1062-1009-1005-1051-1052-1054-1055-1056-1060-1059-1064</t>
  </si>
  <si>
    <t>ΞΑΝΘΟΠΟΥΛΟΥ</t>
  </si>
  <si>
    <t>ΓΑΛΑΤΕΙΑ</t>
  </si>
  <si>
    <t>Σ770002</t>
  </si>
  <si>
    <t>800,8</t>
  </si>
  <si>
    <t>1140,8</t>
  </si>
  <si>
    <t>1054-1055-1064-1059-1056-1006-1051-1052-1050-1005-1009-1060-1062</t>
  </si>
  <si>
    <t>ΑΡΒΑΝΙΤΟΓΙΑΝΝΗΣ</t>
  </si>
  <si>
    <t>ΠΑΥΛΟΣ</t>
  </si>
  <si>
    <t>ΑΙ193617</t>
  </si>
  <si>
    <t>1138,5</t>
  </si>
  <si>
    <t>1054-1055-1064-1056-1057-1059-1061-1067-1063-1065-1066-1007-1008-1009-1068-1050-1047-1048-1049-1051-1052-1053-1060-1062-1005</t>
  </si>
  <si>
    <t>ΧΑΡΜΑΝΑ</t>
  </si>
  <si>
    <t>ΣΩΤΗΡΙΑ</t>
  </si>
  <si>
    <t>Ν673494</t>
  </si>
  <si>
    <t>1063-1055-1054-1056-1058-1064-1059-1065-1061-1047-1048-1049-1051-1052-1057-1060-1007-1067-1050-1053-1009-1068-1008-1066-1062</t>
  </si>
  <si>
    <t>ΝΤΑΒΑΡΗ</t>
  </si>
  <si>
    <t>ΣΠΥΡΙΔΟΥΛΑ</t>
  </si>
  <si>
    <t>Χ842296</t>
  </si>
  <si>
    <t>1137,9</t>
  </si>
  <si>
    <t>1060-1051-1052-1006-1064-1054-1055-1059-1056-1009</t>
  </si>
  <si>
    <t>ΚΟΛΛΙΑ</t>
  </si>
  <si>
    <t>ΑΕ713966</t>
  </si>
  <si>
    <t>807,4</t>
  </si>
  <si>
    <t>1137,4</t>
  </si>
  <si>
    <t>1054-1055-1060-1052-1051-1005-1064-1059-1056-1009-1006-1066</t>
  </si>
  <si>
    <t>ΒΑΣΑΚΟΥ</t>
  </si>
  <si>
    <t>Σ368939</t>
  </si>
  <si>
    <t>866,8</t>
  </si>
  <si>
    <t>1136,8</t>
  </si>
  <si>
    <t>1009-1050-1051-1052-1054-1055-1056-1059-1060-1062-1064-1066-1007-1008-1047-1048-1049-1053-1057-1058-1061-1063-1065-1067-1068</t>
  </si>
  <si>
    <t>ΘΕΟΧΑΡΗ</t>
  </si>
  <si>
    <t>ΑΝ218283</t>
  </si>
  <si>
    <t>1055-1054-1064-1059-1056-1009-1052-1051-1060-1050-1062-1066</t>
  </si>
  <si>
    <t>ΡΕΠΑΝΑΣ</t>
  </si>
  <si>
    <t>ΑΖ289218</t>
  </si>
  <si>
    <t>865,7</t>
  </si>
  <si>
    <t>1135,7</t>
  </si>
  <si>
    <t>1059-1064-1054-1055-1056-1005-1051-1052-1060-1009</t>
  </si>
  <si>
    <t>ΜΠΑΣΑΡΑΣ</t>
  </si>
  <si>
    <t>Σ484518</t>
  </si>
  <si>
    <t>1055-1054-1006-1056-1064-1060-1059-1051-1052-1066-1050-1009-1062</t>
  </si>
  <si>
    <t>ΣΑΦΑΡΙΚΑ</t>
  </si>
  <si>
    <t>ΑΖ741511</t>
  </si>
  <si>
    <t>1055-1054-1009-1059-1064-1056-1051-1052-1060-1005-1066-1062-1050-1007-1008-1047-1048-1053-1057-1058-1061-1065-1067-1068-1049-1063</t>
  </si>
  <si>
    <t>ΘΕΟΔΩΡΟΥ</t>
  </si>
  <si>
    <t>Φ252165</t>
  </si>
  <si>
    <t>1132,9</t>
  </si>
  <si>
    <t>ΓΕΩΡΓΟΓΙΑΝΝΗ</t>
  </si>
  <si>
    <t>ΑΙ763643</t>
  </si>
  <si>
    <t>1132,3</t>
  </si>
  <si>
    <t>1060-1054-1055-1005-1052-1051-1059-1064-1056-1009-1050-1062-1066</t>
  </si>
  <si>
    <t>ΦΙΛΑΡΕΤΗ</t>
  </si>
  <si>
    <t>ΑΙ880649</t>
  </si>
  <si>
    <t>1002,1</t>
  </si>
  <si>
    <t>1132,1</t>
  </si>
  <si>
    <t>ΠΕΤΡΙΚΙΟΖΟΓΛΟΥ</t>
  </si>
  <si>
    <t>ΑΝ078104</t>
  </si>
  <si>
    <t>861,3</t>
  </si>
  <si>
    <t>1131,3</t>
  </si>
  <si>
    <t>1052-1051-1062-1060-1059-1064-1054-1055-1056-1066-1006-1009</t>
  </si>
  <si>
    <t>ΓΚΑΝΤΟΥΝΑ</t>
  </si>
  <si>
    <t>Φ290091</t>
  </si>
  <si>
    <t>1130,8</t>
  </si>
  <si>
    <t>1006-1009-1005-1008</t>
  </si>
  <si>
    <t>ΠΑΝΑΣ</t>
  </si>
  <si>
    <t>Ρ697341</t>
  </si>
  <si>
    <t>1060-1054-1055-1009-1051-1052-1056-1064-1059-1066-1062-1050-1005</t>
  </si>
  <si>
    <t>ΣΤΕΦΟΥ</t>
  </si>
  <si>
    <t>ΑΒ111612</t>
  </si>
  <si>
    <t>828,3</t>
  </si>
  <si>
    <t>1128,3</t>
  </si>
  <si>
    <t>1009-1059-1054-1055-1006-1064-1051-1052-1056-1057-1060-1005</t>
  </si>
  <si>
    <t>ΚΙΟΣΗ</t>
  </si>
  <si>
    <t>ΕΡΜΙΟΝΗ</t>
  </si>
  <si>
    <t>ΛΑΖΑΡΟΣ</t>
  </si>
  <si>
    <t>ΑΝ200267</t>
  </si>
  <si>
    <t>650,1</t>
  </si>
  <si>
    <t>1128,1</t>
  </si>
  <si>
    <t>1054-1055-1009-1050-1051-1052-1056-1057-1058-1059-1060-1062-1064-1066</t>
  </si>
  <si>
    <t>ΧΑΙΔΕΜΕΝΟΥ</t>
  </si>
  <si>
    <t>ΑΚ523447</t>
  </si>
  <si>
    <t>ΜΠΑΜΠΑΤΣΙΚΟΥ</t>
  </si>
  <si>
    <t>ΠΛΑΤΩΝ</t>
  </si>
  <si>
    <t>ΑΑ402189</t>
  </si>
  <si>
    <t>1055-1054-1058-1064-1063-1065-1056-1059-1007-1006-1067-1061-1057-1048-1047-1049-1050-1051-1052-1053-1060-1062-1066-1068-1008-1009-1005</t>
  </si>
  <si>
    <t>ΝΕΡΟΥΤΣΟΥ</t>
  </si>
  <si>
    <t>ΑΙ859711</t>
  </si>
  <si>
    <t>1127,6</t>
  </si>
  <si>
    <t>1064-1056-1060-1052-1051-1054-1055-1009-1066-1059-1050-1062-1005</t>
  </si>
  <si>
    <t>ΔΑΣΚΑΛΑΚΗ</t>
  </si>
  <si>
    <t>ΑΙ450101</t>
  </si>
  <si>
    <t>1127,4</t>
  </si>
  <si>
    <t>ΓΚΟΥΤΝΑΣ</t>
  </si>
  <si>
    <t>ΑΕ172997</t>
  </si>
  <si>
    <t>707,3</t>
  </si>
  <si>
    <t>1127,3</t>
  </si>
  <si>
    <t>1055-1056-1064-1060-1059-1051-1052-1054-1009-1005</t>
  </si>
  <si>
    <t>ΖΗΣΗΣ</t>
  </si>
  <si>
    <t>ΑΙ378344</t>
  </si>
  <si>
    <t>1126,3</t>
  </si>
  <si>
    <t>1008-1009</t>
  </si>
  <si>
    <t>ΜΠΛΑΝΑ</t>
  </si>
  <si>
    <t>ΑΝ489533</t>
  </si>
  <si>
    <t>687,5</t>
  </si>
  <si>
    <t>1125,5</t>
  </si>
  <si>
    <t>1052-1051-1009-1066-1064</t>
  </si>
  <si>
    <t>ΚΑΝΟΝΑΚΗ</t>
  </si>
  <si>
    <t>ΑΖ957606</t>
  </si>
  <si>
    <t>1125,2</t>
  </si>
  <si>
    <t>1060-1009</t>
  </si>
  <si>
    <t>ΤΣΙΤΣΙΒΑ</t>
  </si>
  <si>
    <t>ΜΑΡΙΛΕΝΑ</t>
  </si>
  <si>
    <t>ΑΙ930778</t>
  </si>
  <si>
    <t>1006-1005-1009-1008</t>
  </si>
  <si>
    <t>ΜΠΙΛΙΡΗ</t>
  </si>
  <si>
    <t>Φ242327</t>
  </si>
  <si>
    <t>1124,7</t>
  </si>
  <si>
    <t>1005-1006-1009-1051-1052-1054-1055-1056-1059-1060-1064-1066-1062-1050</t>
  </si>
  <si>
    <t>ΠΑΠΑΣΤΑΥΡΟΥ</t>
  </si>
  <si>
    <t>ΝΙΚΗ</t>
  </si>
  <si>
    <t>Φ331235</t>
  </si>
  <si>
    <t>1124,6</t>
  </si>
  <si>
    <t>1055-1056-1059-1064-1051-1052-1009-1060</t>
  </si>
  <si>
    <t>ΔΗΜΟΣ</t>
  </si>
  <si>
    <t>ΚΩΝΣΤΑΝΤΙΝΟΣ-ΠΑΡΑΣΚΕΥΑΣ</t>
  </si>
  <si>
    <t>ΟΔΥΣΣΕΥΣ</t>
  </si>
  <si>
    <t>Χ796328</t>
  </si>
  <si>
    <t>1124,4</t>
  </si>
  <si>
    <t>1005-1009-1051-1052-1055-1056-1059-1060-1064-1066</t>
  </si>
  <si>
    <t>ΕΥΣΤΡΑΤΙΟΥ</t>
  </si>
  <si>
    <t>ΕΥΣΤΡΑΤΙΟΣ</t>
  </si>
  <si>
    <t>ΑΚ037635</t>
  </si>
  <si>
    <t>673,2</t>
  </si>
  <si>
    <t>1123,2</t>
  </si>
  <si>
    <t>1051-1052-1060-1005-1009-1054-1055-1056-1006-1064-1059</t>
  </si>
  <si>
    <t>ΠΑΠΑΔΟΛΙΟΠΟΥΛΟΥ</t>
  </si>
  <si>
    <t>ΑΑ067205</t>
  </si>
  <si>
    <t>1122,8</t>
  </si>
  <si>
    <t>1060-1005-1051-1052-1059-1054-1055-1066-1064-1056-1009-1062-1050</t>
  </si>
  <si>
    <t>ΑΕ239589</t>
  </si>
  <si>
    <t>1122,5</t>
  </si>
  <si>
    <t>ΔΟΛΑΠΤΣΗ</t>
  </si>
  <si>
    <t>ΑΕ131631</t>
  </si>
  <si>
    <t>1122,1</t>
  </si>
  <si>
    <t>ΔΗΛΟΠΟΥΛΟΣ</t>
  </si>
  <si>
    <t>ΑΚ858418</t>
  </si>
  <si>
    <t>1054-1055-1064-1056-1006-1059-1051-1052-1066-1005-1060-1009-1050-1062</t>
  </si>
  <si>
    <t>ΤΖΗΚΑ</t>
  </si>
  <si>
    <t>ΑΒ112742</t>
  </si>
  <si>
    <t>1059-1064-1055-1054-1006-1056-1051-1052-1005-1009-1060</t>
  </si>
  <si>
    <t>ΖΑΠΑΝΤΗ</t>
  </si>
  <si>
    <t>ΓΕΡΑΣΙΜΟΣ</t>
  </si>
  <si>
    <t>Χ648444</t>
  </si>
  <si>
    <t>919,6</t>
  </si>
  <si>
    <t>1119,6</t>
  </si>
  <si>
    <t>ΜΠΟΡΜΠΟΥΔΑΚΗ</t>
  </si>
  <si>
    <t>ΑΚ475543</t>
  </si>
  <si>
    <t>819,5</t>
  </si>
  <si>
    <t>1119,5</t>
  </si>
  <si>
    <t>ΚΑΛΟΓΕΡΑ</t>
  </si>
  <si>
    <t>ΑΑ303531</t>
  </si>
  <si>
    <t>1118,8</t>
  </si>
  <si>
    <t>1060-1052-1051-1005-1054-1055-1056-1059-1009-1064</t>
  </si>
  <si>
    <t>ΑΥΓΟΥΛΕΑΣ</t>
  </si>
  <si>
    <t>ΦΩΤΕΙΝΟΣ</t>
  </si>
  <si>
    <t>ΑΚ652888</t>
  </si>
  <si>
    <t>1009-1051-1052-1055-1056-1059-1060-1064</t>
  </si>
  <si>
    <t>ΤΣΟΡΑΓΛΟΥ</t>
  </si>
  <si>
    <t>ΓΙΑΣΕΜΗ ΕΙΡΗΝΗ</t>
  </si>
  <si>
    <t>ΑΑ369735</t>
  </si>
  <si>
    <t>1009-1051-1052-1054-1055-1060-1056-1059-1064</t>
  </si>
  <si>
    <t>ΔΑΛΑΚΑ</t>
  </si>
  <si>
    <t>Χ620308</t>
  </si>
  <si>
    <t>678,7</t>
  </si>
  <si>
    <t>1116,7</t>
  </si>
  <si>
    <t>1060-1052-1051-1009-1055-1056-1059-1064</t>
  </si>
  <si>
    <t>ΜΥΡΤΑΚΗ</t>
  </si>
  <si>
    <t>ΑΖ455914</t>
  </si>
  <si>
    <t>ΤΑΣΣΟΣ</t>
  </si>
  <si>
    <t>Φ200066</t>
  </si>
  <si>
    <t>1115,7</t>
  </si>
  <si>
    <t>1068-1008-1055-1054-1053-1009-1007-1067-1049-1064-1051-1061-1048-1056-1057-1059-1060-1052-1047</t>
  </si>
  <si>
    <t>ΜΑΝΟΥΣΑΚΗ</t>
  </si>
  <si>
    <t>ΑΑ368106</t>
  </si>
  <si>
    <t>775,5</t>
  </si>
  <si>
    <t>1115,5</t>
  </si>
  <si>
    <t>ΡΕΜΠΗΣ</t>
  </si>
  <si>
    <t>ΑΜ731809</t>
  </si>
  <si>
    <t>ΣΤΕΡΓΙΑΚΗΣΜΙΜΗΣ</t>
  </si>
  <si>
    <t>ΑΜ814534</t>
  </si>
  <si>
    <t>884,4</t>
  </si>
  <si>
    <t>1114,4</t>
  </si>
  <si>
    <t>1064-1055-1059-1056-1066-1060-1051-1052-1009</t>
  </si>
  <si>
    <t>ΔΟΥΜΚΟΥ</t>
  </si>
  <si>
    <t>ΑΖ800265</t>
  </si>
  <si>
    <t>794,2</t>
  </si>
  <si>
    <t>1114,2</t>
  </si>
  <si>
    <t>1059-1055-1054-1064-1056-1009-1005-1051-1052-1060-1062-1066-1050</t>
  </si>
  <si>
    <t>ΚΑΡΑΓΚΟΥΝΗΣ</t>
  </si>
  <si>
    <t>ΑΕ655108</t>
  </si>
  <si>
    <t>753,5</t>
  </si>
  <si>
    <t>1113,5</t>
  </si>
  <si>
    <t>ΚΟΤΣΑΣ</t>
  </si>
  <si>
    <t>ΑΒ214196</t>
  </si>
  <si>
    <t>1113,4</t>
  </si>
  <si>
    <t>1055-1054-1052-1051-1005-1009-1060-1006-1064-1059-1056-1062-1066</t>
  </si>
  <si>
    <t>ΚΑΡΑΧΡΗΣΤΟΥ</t>
  </si>
  <si>
    <t>ΑΒ199154</t>
  </si>
  <si>
    <t>1111,8</t>
  </si>
  <si>
    <t>1051-1054-1055-1005-1060-1066-1009-1056-1064</t>
  </si>
  <si>
    <t>ΣΥΡΟΠΟΥΛΟΥ</t>
  </si>
  <si>
    <t>ΠΗΝΕΛΟΠΗ</t>
  </si>
  <si>
    <t>ΑΙ160513</t>
  </si>
  <si>
    <t>731,5</t>
  </si>
  <si>
    <t>1111,5</t>
  </si>
  <si>
    <t>1055-1054-1056-1064-1059-1009-1051-1052-1060</t>
  </si>
  <si>
    <t>ΑΛΜΠΑΝΟΥΔΗΣ</t>
  </si>
  <si>
    <t>ΑΒ354357</t>
  </si>
  <si>
    <t>ΣΑΛΕΠΗ</t>
  </si>
  <si>
    <t>Χ978038</t>
  </si>
  <si>
    <t>642,4</t>
  </si>
  <si>
    <t>1110,4</t>
  </si>
  <si>
    <t>1055-1009-1064-1059-1051-1052-1056-1060-1066</t>
  </si>
  <si>
    <t>ΑΔΑΜ</t>
  </si>
  <si>
    <t>ΑΒ170872</t>
  </si>
  <si>
    <t>960,3</t>
  </si>
  <si>
    <t>1110,3</t>
  </si>
  <si>
    <t>ΧΑΣΙΚΙΔΗ</t>
  </si>
  <si>
    <t>ΕΙΡΗΝΗ - ΦΩΤΕΙΝΗ</t>
  </si>
  <si>
    <t>Τ383916</t>
  </si>
  <si>
    <t>1060-1064-1059-1056-1052-1055-1051-1009</t>
  </si>
  <si>
    <t>ΓΚΑΡΙΛΑ</t>
  </si>
  <si>
    <t>ΑΒ499315</t>
  </si>
  <si>
    <t>ΜΗΤΡΟΠΟΥΛΟΣ</t>
  </si>
  <si>
    <t>ΑΙ857649</t>
  </si>
  <si>
    <t>1064-1006-1055-1005-1054-1052-1051-1059-1056-1060-1009</t>
  </si>
  <si>
    <t>ΑΙ112903</t>
  </si>
  <si>
    <t>1109,6</t>
  </si>
  <si>
    <t>1048-1047-1006-1005-1067-1007-1060-1064-1065-1068-1053-1059-1058-1057-1056-1055-1054-1049-1063-1062-1052-1061-1009</t>
  </si>
  <si>
    <t>ΠΡΕΜΤΟΥ</t>
  </si>
  <si>
    <t>ΑΜ300081</t>
  </si>
  <si>
    <t>1108,2</t>
  </si>
  <si>
    <t>1009-1060-1051-1052-1054-1055-1056-1058-1064-1005-1006-1062-1066-1050</t>
  </si>
  <si>
    <t>ΒΛΑΧΟΔΗΜΟΣ</t>
  </si>
  <si>
    <t>Φ276523</t>
  </si>
  <si>
    <t>1107,4</t>
  </si>
  <si>
    <t>ΜΠΑΡΔΑΚΑΣ</t>
  </si>
  <si>
    <t>ΑΒ092716</t>
  </si>
  <si>
    <t>1105,2</t>
  </si>
  <si>
    <t>1064-1054-1055-1059-1056-1060-1051-1052-1005-1009-1050-1066-1062</t>
  </si>
  <si>
    <t>ΖΑΡΚΑΔΑ</t>
  </si>
  <si>
    <t>ΑΚΡΙΒΗ</t>
  </si>
  <si>
    <t>ΑΙ244685</t>
  </si>
  <si>
    <t>925,1</t>
  </si>
  <si>
    <t>1105,1</t>
  </si>
  <si>
    <t>1007-1008-1009-1005-1006</t>
  </si>
  <si>
    <t>ΚΩΤΙΔΗΣ</t>
  </si>
  <si>
    <t>ΑΖ320700</t>
  </si>
  <si>
    <t>1104,2</t>
  </si>
  <si>
    <t>1054-1055-1064-1058-1061-1063-1065-1067-1007-1056-1057-1059-1048-1049-1060-1047-1051-1052-1053-1009-1008-1068-1066-1062-1050</t>
  </si>
  <si>
    <t>ΠΑΝΑΓΟΥΣΗΣ</t>
  </si>
  <si>
    <t>ΑΙ723244</t>
  </si>
  <si>
    <t>833,8</t>
  </si>
  <si>
    <t>1103,8</t>
  </si>
  <si>
    <t>ΠΑΛΜΟΥ-ΤΣΑΓΚΑΝΕΛΙΑ</t>
  </si>
  <si>
    <t>ΑΙ055146</t>
  </si>
  <si>
    <t>883,3</t>
  </si>
  <si>
    <t>1103,3</t>
  </si>
  <si>
    <t>ΜΙΧΑΗΛΙΔΗΣ</t>
  </si>
  <si>
    <t>ΑΙ833245</t>
  </si>
  <si>
    <t>1102,5</t>
  </si>
  <si>
    <t>ΑΕ239590</t>
  </si>
  <si>
    <t>831,6</t>
  </si>
  <si>
    <t>1101,6</t>
  </si>
  <si>
    <t>ΧΑΡΙΤΟΥ</t>
  </si>
  <si>
    <t>ΑΑ322953</t>
  </si>
  <si>
    <t>771,1</t>
  </si>
  <si>
    <t>1101,1</t>
  </si>
  <si>
    <t>1049-1060-1068-1055-1054-1053-1007-1009-1057-1067-1008-1052-1051-1048-1047-1059-1056-1005-1006-1064-1061</t>
  </si>
  <si>
    <t>ΑΝΑΓΝΩΣΤΑΚΗ</t>
  </si>
  <si>
    <t>ΘΕΟΔΩΡΑ</t>
  </si>
  <si>
    <t>Χ758567</t>
  </si>
  <si>
    <t>1100,8</t>
  </si>
  <si>
    <t>ΓΙΑΝΝΟΠΟΥΛΟΥ</t>
  </si>
  <si>
    <t>ΑΙ960624</t>
  </si>
  <si>
    <t>1005-1007-1008-1009-1047-1048-1049-1051-1052-1053-1054-1055-1056-1057-1058-1059-1060-1061-1063-1064-1065-1066-1067-1068</t>
  </si>
  <si>
    <t>ΤΑΤΟΛΗ</t>
  </si>
  <si>
    <t>ΛΟΥΙΖΑ</t>
  </si>
  <si>
    <t>Χ366681</t>
  </si>
  <si>
    <t>830,5</t>
  </si>
  <si>
    <t>1100,5</t>
  </si>
  <si>
    <t>1054-1055-1051-1052-1056-1059-1005-1060-1064-1009-1066-1050-1062</t>
  </si>
  <si>
    <t>Ρ853420</t>
  </si>
  <si>
    <t>1064-1056-1005-1052-1051-1060-1059-1055-1054-1009-1048-1047-1049-1067-1007-1057-1061-1008-1068-1053</t>
  </si>
  <si>
    <t>ΠΑΣΠΑΤΗ</t>
  </si>
  <si>
    <t>ΜΑΡΙΑ ΤΑΞΙΑΡΧΟΥΛΑ</t>
  </si>
  <si>
    <t>Χ418495</t>
  </si>
  <si>
    <t>1099,4</t>
  </si>
  <si>
    <t>1008-1009-1053-1054-1055-1056-1062-1068</t>
  </si>
  <si>
    <t>ΚΩΝΣΤΑΝΤΙΝΙΔΟΥ</t>
  </si>
  <si>
    <t>ΕΥΘΥΜΙΑ</t>
  </si>
  <si>
    <t>ΑΗ845407</t>
  </si>
  <si>
    <t>798,6</t>
  </si>
  <si>
    <t>1098,6</t>
  </si>
  <si>
    <t>1055-1054-1056-1064-1059-1050-1051-1052-1066-1062-1060-1009</t>
  </si>
  <si>
    <t>ΓΚΙΚΑ</t>
  </si>
  <si>
    <t>ΕΛΙΟΝΑ</t>
  </si>
  <si>
    <t>ΑΗ456312</t>
  </si>
  <si>
    <t>1098,3</t>
  </si>
  <si>
    <t>1009-1053-1005</t>
  </si>
  <si>
    <t>ΧΡΥΣΑΦΙΔΗ</t>
  </si>
  <si>
    <t>ΣΤΑΥΡΟΥΛΑ ΑΛΕΞΙΑ</t>
  </si>
  <si>
    <t>ΑΗ078831</t>
  </si>
  <si>
    <t>663,3</t>
  </si>
  <si>
    <t>ΧΑΤΖΗΠΡΙΜΟΥ</t>
  </si>
  <si>
    <t>ΑΜ894630</t>
  </si>
  <si>
    <t>ΓΙΑΖΙΤΖΟΓΛΟΥ</t>
  </si>
  <si>
    <t>Χ920286</t>
  </si>
  <si>
    <t>1095,8</t>
  </si>
  <si>
    <t>1062-1007-1008-1009-1047-1068-1005-1061</t>
  </si>
  <si>
    <t>ΑΝΑΓΝΩΣΤΟΥ</t>
  </si>
  <si>
    <t>ΑΝ391101</t>
  </si>
  <si>
    <t>1055-1064-1059-1056-1066-1009</t>
  </si>
  <si>
    <t>ΠΑΓΚΑΛΟΥ</t>
  </si>
  <si>
    <t>ΜΑΡΙΑ-ΠΟΛΥΞΕΝΗ</t>
  </si>
  <si>
    <t>Σ906006</t>
  </si>
  <si>
    <t>842,6</t>
  </si>
  <si>
    <t>1095,6</t>
  </si>
  <si>
    <t>1060-1009-1066</t>
  </si>
  <si>
    <t>ΚΟΥΤΣΟΥΠΙΑ</t>
  </si>
  <si>
    <t>Χ343102</t>
  </si>
  <si>
    <t>1093,8</t>
  </si>
  <si>
    <t>1054-1055-1059-1063-1064-1056-1066-1051-1052-1060-1009-1050</t>
  </si>
  <si>
    <t>ΕΥΤΥΧΙΑ</t>
  </si>
  <si>
    <t>Ρ101988</t>
  </si>
  <si>
    <t>1092,2</t>
  </si>
  <si>
    <t>1052-1051-1060-1054-1055-1009-1056-1064-1059-1062-1066-1050</t>
  </si>
  <si>
    <t>ΧΑΤΖΗΒΑΣΙΛΕΙΟΥ</t>
  </si>
  <si>
    <t>ΑΜ457819</t>
  </si>
  <si>
    <t>1089,5</t>
  </si>
  <si>
    <t>ΒΕΡΓΙΤΣΗ</t>
  </si>
  <si>
    <t>Χ462114</t>
  </si>
  <si>
    <t>1089,1</t>
  </si>
  <si>
    <t>1009-1008-1053-1068-1051-1052-1056-1059-1064-1066-1067-1065-1054-1055-1058-1005-1007-1047-1048-1049</t>
  </si>
  <si>
    <t>ΡΟΒΙΣΗ</t>
  </si>
  <si>
    <t>ΑΚ413988</t>
  </si>
  <si>
    <t>1088,7</t>
  </si>
  <si>
    <t>1064-1059-1055-1054-1052-1051-1056-1060-1009-1066</t>
  </si>
  <si>
    <t>ΚΑΠΛΑΝΙΔΗΣ</t>
  </si>
  <si>
    <t>ΑΒ355474</t>
  </si>
  <si>
    <t>ΜΑΝΩΛΑΡΑΚΗ</t>
  </si>
  <si>
    <t>ΜΑΡΙΑΝΝΑ</t>
  </si>
  <si>
    <t>1087,7</t>
  </si>
  <si>
    <t>ΣΑΚΟΓΛΟΥ</t>
  </si>
  <si>
    <t>ΑΜ673546</t>
  </si>
  <si>
    <t>756,8</t>
  </si>
  <si>
    <t>1086,8</t>
  </si>
  <si>
    <t>1054-1055-1059-1051-1052-1007-1009-1056-1060-1064-1005-1066-1062-1050</t>
  </si>
  <si>
    <t>ΜΠΟΖΙΑ</t>
  </si>
  <si>
    <t>ΑΙ406197</t>
  </si>
  <si>
    <t>1086,7</t>
  </si>
  <si>
    <t>1050-1054-1055-1056-1008-1009-1053-1051-1052-1068-1067-1007-1060-1064-1047-1048-1057-1059</t>
  </si>
  <si>
    <t>ΑΝΤΩΝΟΠΟΥΛΟΥ</t>
  </si>
  <si>
    <t>ΑΕ261855</t>
  </si>
  <si>
    <t>1086,6</t>
  </si>
  <si>
    <t>1060-1055-1054-1009-1006-1059-1056-1052-1051-1064</t>
  </si>
  <si>
    <t>ΚΟΥΛΤΟΥΚΗ</t>
  </si>
  <si>
    <t>Χ153117</t>
  </si>
  <si>
    <t>1085,7</t>
  </si>
  <si>
    <t>ΚΑΡΠΟΥΖΑ</t>
  </si>
  <si>
    <t>ΑΑ410953</t>
  </si>
  <si>
    <t>785,4</t>
  </si>
  <si>
    <t>1085,4</t>
  </si>
  <si>
    <t>1009-1054-1055-1059-1066-1056-1051-1052-1060-1062-1064-1050-1006-1005</t>
  </si>
  <si>
    <t>ΜΠΑΛΑΣΙ</t>
  </si>
  <si>
    <t>ΖΟΥΖΑΝΝΑ</t>
  </si>
  <si>
    <t>ΙΣΤΒΑΝ</t>
  </si>
  <si>
    <t>ΑΚ326651</t>
  </si>
  <si>
    <t>1083,5</t>
  </si>
  <si>
    <t>1054-1055-1064-1056-1060-1059-1051-1052-1009-1006-1005</t>
  </si>
  <si>
    <t>ΣΤΕΡΓΙΟΠΟΥΛΟΥ</t>
  </si>
  <si>
    <t>ΑΝΔΡΕΑΝΑ</t>
  </si>
  <si>
    <t>ΑΒ865892</t>
  </si>
  <si>
    <t>730,4</t>
  </si>
  <si>
    <t>1083,4</t>
  </si>
  <si>
    <t>1059-1064-1051-1052-1009</t>
  </si>
  <si>
    <t>ΣΤΑΜΟΥΛΗΣ</t>
  </si>
  <si>
    <t>ΑΒ860166</t>
  </si>
  <si>
    <t>624,8</t>
  </si>
  <si>
    <t>1082,8</t>
  </si>
  <si>
    <t>1059-1061-1055-1054-1047-1064-1067-1008-1049-1007-1009-1068-1051-1052-1048-1053-1056-1060</t>
  </si>
  <si>
    <t>ΠΡΟΥΤΖΟΣ</t>
  </si>
  <si>
    <t>Ρ780855</t>
  </si>
  <si>
    <t>1081,8</t>
  </si>
  <si>
    <t>1047-1048-1049-1051-1052-1053-1054-1055-1056-1057-1059-1060-1061-1064-1067-1068-1007-1008-1009-1050-1058-1062-1063-1065-1066</t>
  </si>
  <si>
    <t>ΑΡΑΜΠΑΤΖΗ</t>
  </si>
  <si>
    <t>ΑΖ931723</t>
  </si>
  <si>
    <t>1081,6</t>
  </si>
  <si>
    <t>ΧΙΚΑΡΟΥ</t>
  </si>
  <si>
    <t>ΑΑ969454</t>
  </si>
  <si>
    <t>1006-1009-1005-1055-1054-1060-1059-1056-1051-1052-1064-1066-1062-1050</t>
  </si>
  <si>
    <t xml:space="preserve">ΠΑΠΑΔΑΚΗ </t>
  </si>
  <si>
    <t>ΜΑΡΚΟΣ</t>
  </si>
  <si>
    <t>Φ253326</t>
  </si>
  <si>
    <t>1080,7</t>
  </si>
  <si>
    <t>ΜΠΡΟΒΑΣ</t>
  </si>
  <si>
    <t>ΑΚ620207</t>
  </si>
  <si>
    <t>1079,9</t>
  </si>
  <si>
    <t>1060-1005-1051-1052-1048-1057-1049-1064-1006-1009-1059-1056</t>
  </si>
  <si>
    <t>ΑΕ796290</t>
  </si>
  <si>
    <t>1079,6</t>
  </si>
  <si>
    <t>1067-1061-1054-1055-1057-1064-1065-1056-1047-1059-1049-1048-1058-1063-1052-1051-1066-1050-1068-1053-1062-1009-1008-1007</t>
  </si>
  <si>
    <t>ΣΕΒΑΣΤΗ</t>
  </si>
  <si>
    <t>Χ315089</t>
  </si>
  <si>
    <t>641,3</t>
  </si>
  <si>
    <t>1079,3</t>
  </si>
  <si>
    <t>1056-1055-1064-1059-1051-1052-1060-1009</t>
  </si>
  <si>
    <t>ΓΙΑΝΝΟΥΚΟΣ</t>
  </si>
  <si>
    <t>Σ364813</t>
  </si>
  <si>
    <t>1079,1</t>
  </si>
  <si>
    <t>1060-1066-1009-1051-1052-1054-1059-1056</t>
  </si>
  <si>
    <t>ΜΠΡΕΖΕΡΑΚΟΣ</t>
  </si>
  <si>
    <t>ΑΕ746390</t>
  </si>
  <si>
    <t>1078,8</t>
  </si>
  <si>
    <t>1060-1049-1048-1061-1068-1008-1053-1009-1051-1052-1059-1064</t>
  </si>
  <si>
    <t>ΣΧΟΙΝΑ</t>
  </si>
  <si>
    <t>ΑΜ400641</t>
  </si>
  <si>
    <t>619,3</t>
  </si>
  <si>
    <t>1077,3</t>
  </si>
  <si>
    <t>1005-1006-1007-1008-1009-1051-1056-1052-1054-1055-1059-1064-1049</t>
  </si>
  <si>
    <t>ΑΜΥΓΔΑΛΟΥΔΗ</t>
  </si>
  <si>
    <t>Χ964842</t>
  </si>
  <si>
    <t>1075,3</t>
  </si>
  <si>
    <t>1054-1055-1056-1050-1051-1052-1059-1060-1062-1064-1009-1066</t>
  </si>
  <si>
    <t>ΤΣΙΛΙΓΚΑΡΙΔΗΣ</t>
  </si>
  <si>
    <t>ΑΚ279302</t>
  </si>
  <si>
    <t>1075,2</t>
  </si>
  <si>
    <t>1055-1064-1056-1059-1051-1052-1009-1060</t>
  </si>
  <si>
    <t>ΤΟΛΗ</t>
  </si>
  <si>
    <t>ΑΙ733337</t>
  </si>
  <si>
    <t>1073,9</t>
  </si>
  <si>
    <t>1055-1054-1064-1056-1059-1052-1051-1005-1050-1060-1066-1009-1062</t>
  </si>
  <si>
    <t>ΚΟΝΤΙΤΣΗΣ</t>
  </si>
  <si>
    <t>ΑΒ948821</t>
  </si>
  <si>
    <t>843,7</t>
  </si>
  <si>
    <t>1073,7</t>
  </si>
  <si>
    <t>ΦΡΕΖΟΥΛΗΣ</t>
  </si>
  <si>
    <t>ΑΕ936903</t>
  </si>
  <si>
    <t>1073,1</t>
  </si>
  <si>
    <t>1005-1006-1009-1051-1052-1054-1055-1056-1059-1060-1064</t>
  </si>
  <si>
    <t>ΒΑΙΑ</t>
  </si>
  <si>
    <t>ΑΜ302793</t>
  </si>
  <si>
    <t>1070,8</t>
  </si>
  <si>
    <t>1060-1049-1068-1009-1047-1048-1006-1007-1008-1050-1051-1052-1053-1054-1055-1056-1057-1058-1059-1061-1062-1063-1064-1065-1066-1067</t>
  </si>
  <si>
    <t>ΚΙΤΣΟΣ</t>
  </si>
  <si>
    <t>ΑΕ294814</t>
  </si>
  <si>
    <t>820,6</t>
  </si>
  <si>
    <t>1070,6</t>
  </si>
  <si>
    <t>1005-1006-1007-1008-1009-1047-1048-1049-1050-1051-1052-1053-1054-1055-1056-1057-1058-1059-1060-1061-1062-1064-1065-1066-1067-1068</t>
  </si>
  <si>
    <t>ΞΕΚΑΡΔΑΚΗΣ</t>
  </si>
  <si>
    <t>ΑΜ457596</t>
  </si>
  <si>
    <t>1005-1006-1009-1051-1052-1056-1059-1060-1064</t>
  </si>
  <si>
    <t>ΤΣΙΤΣΙΡΙΓΚΟΥ</t>
  </si>
  <si>
    <t>ΑΑ727228</t>
  </si>
  <si>
    <t>1069,1</t>
  </si>
  <si>
    <t>1055-1054-1064-1059-1060-1062-1009-1005-1052-1051-1056-1050-1066</t>
  </si>
  <si>
    <t>ΤΣΟΓΚΑ</t>
  </si>
  <si>
    <t>Χ936031</t>
  </si>
  <si>
    <t>713,9</t>
  </si>
  <si>
    <t>1068,9</t>
  </si>
  <si>
    <t>1009-1005-1054-1052-1051-1056-1064</t>
  </si>
  <si>
    <t>ΤΖΕΛΛΟΥ</t>
  </si>
  <si>
    <t>Φ275467</t>
  </si>
  <si>
    <t>1068,6</t>
  </si>
  <si>
    <t>1005-1007-1008-1009-1047-1048-1049-1050-1051-1053-1054-1055-1056-1057-1058-1059-1060-1061-1062-1063-1064-1065-1066-1067-1068</t>
  </si>
  <si>
    <t>ΤΑΣΙΟΥΛΑΣ</t>
  </si>
  <si>
    <t>ΑΑ380840</t>
  </si>
  <si>
    <t>1054-1055-1056-1059-1060-1064-1047-1051-1052-1009-1048-1007-1067-1057-1068-1053-1065-1063-1066-1062-1050</t>
  </si>
  <si>
    <t>ΚΑΜΠΑΝΟΥ</t>
  </si>
  <si>
    <t>Χ853520</t>
  </si>
  <si>
    <t>ΟΥΡΑΝΟΥ</t>
  </si>
  <si>
    <t>ΑΚ484487</t>
  </si>
  <si>
    <t>797,5</t>
  </si>
  <si>
    <t>1067,5</t>
  </si>
  <si>
    <t>ΣΑΡΤΖΕΤΑΚΗΣ</t>
  </si>
  <si>
    <t>ΑΙ549594</t>
  </si>
  <si>
    <t>1067,2</t>
  </si>
  <si>
    <t>Τσονόπουλος</t>
  </si>
  <si>
    <t>Παναγιώτης</t>
  </si>
  <si>
    <t>Νικόλαος</t>
  </si>
  <si>
    <t>ΑΚ553286</t>
  </si>
  <si>
    <t>1066,7</t>
  </si>
  <si>
    <t>1050-1051-1052-1054-1055-1056-1059-1060-1062-1064-1066-1009-1005-1006</t>
  </si>
  <si>
    <t>ΑΔΑΜΟΥΛΗ</t>
  </si>
  <si>
    <t>ΑΜ366662</t>
  </si>
  <si>
    <t>1066,4</t>
  </si>
  <si>
    <t>1064-1054-1055-1052-1051-1059-1056-1060-1009-1005</t>
  </si>
  <si>
    <t>ΓΕΩΡΓΙΛΑ</t>
  </si>
  <si>
    <t>ΑΝ354817</t>
  </si>
  <si>
    <t>1055-1054-1064-1065-1058-1063-1006-1061-1059-1056-1007-1067-1068-1009-1008-1053</t>
  </si>
  <si>
    <t>ΔΟΚΑ</t>
  </si>
  <si>
    <t>ΑΝΤΩΝΙΑ</t>
  </si>
  <si>
    <t>ΑΖ304403</t>
  </si>
  <si>
    <t>1054-1055-1066-1063-1059-1064-1056-1051-1052-1005-1009-1060-1050-1062</t>
  </si>
  <si>
    <t>ΖΟΥΖΟΥΛΑΣ</t>
  </si>
  <si>
    <t>ΑΕ550992</t>
  </si>
  <si>
    <t>885,5</t>
  </si>
  <si>
    <t>1065,5</t>
  </si>
  <si>
    <t>ΔΙΚΑΙΟΥ</t>
  </si>
  <si>
    <t>ΝΕΚΤΑΡΙΟΣ</t>
  </si>
  <si>
    <t>Χ788520</t>
  </si>
  <si>
    <t>793,1</t>
  </si>
  <si>
    <t>1063,1</t>
  </si>
  <si>
    <t>1060-1051-1052-1047-1067-1061-1048-1049-1007-1008-1009-1053-1054-1055-1057-1059-1064-1068-1056</t>
  </si>
  <si>
    <t>ΓΙΑΝΝΟΣ</t>
  </si>
  <si>
    <t>ΑΚ115223</t>
  </si>
  <si>
    <t>ΔΑΦΝΟΜΗΛΗ</t>
  </si>
  <si>
    <t>ΑΑ465665</t>
  </si>
  <si>
    <t>1062,8</t>
  </si>
  <si>
    <t>ΜΑΥΡΙΔΗΣ</t>
  </si>
  <si>
    <t>ΜΑΥΡΟΥΔΗΣ</t>
  </si>
  <si>
    <t>Χ974510</t>
  </si>
  <si>
    <t>1054-1055-1056-1064-1059-1051-1052-1060-1009</t>
  </si>
  <si>
    <t>ΠΑΠΑΔΑΚΗ</t>
  </si>
  <si>
    <t>ΑΙ948779</t>
  </si>
  <si>
    <t>761,2</t>
  </si>
  <si>
    <t>1061,2</t>
  </si>
  <si>
    <t>1053-1009-1008-1068-1054-1055-1005-1006-1047-1007-1048-1049-1051-1052-1056-1057-1059-1060-1061-1063-1064-1067-1066-1062-1058-1065-1050</t>
  </si>
  <si>
    <t>ΠΑΝΤΟΥ</t>
  </si>
  <si>
    <t>ΤΡΥΦΩΝ</t>
  </si>
  <si>
    <t>ΑΑ379477</t>
  </si>
  <si>
    <t>1059,8</t>
  </si>
  <si>
    <t>1054-1055-1048-1053-1056-1059-1060-1064-1047-1051-1052-1009-1007-1067-1057-1068-1065-1063-1066-1062-1050</t>
  </si>
  <si>
    <t>ΚΡΑΜΠΟΚΟΥΚΗ</t>
  </si>
  <si>
    <t>ΕΛΕΝΗ ΜΑΡΚΕΛΛΑ</t>
  </si>
  <si>
    <t>Φ081160</t>
  </si>
  <si>
    <t>1059,6</t>
  </si>
  <si>
    <t>1009-1055-1054-1056-1052-1051-1005-1060-1059-1064-1066-1062-1050</t>
  </si>
  <si>
    <t>ΑΓΓΕΛΟΠΟΥΛΟΥ</t>
  </si>
  <si>
    <t>ΑΗ927796</t>
  </si>
  <si>
    <t>929,5</t>
  </si>
  <si>
    <t>1059,5</t>
  </si>
  <si>
    <t>ΒΑΛΑΒΑΝΗ</t>
  </si>
  <si>
    <t>ΑΗ883721</t>
  </si>
  <si>
    <t>1059,3</t>
  </si>
  <si>
    <t>1056-1054-1055-1064-1059-1050-1051-1052-1066-1060-1062-1009</t>
  </si>
  <si>
    <t>ΝΙΚΟΛΟΥΤΣΟΥ</t>
  </si>
  <si>
    <t>ΠΕΛΑΓΙΑ</t>
  </si>
  <si>
    <t>Ρ302357</t>
  </si>
  <si>
    <t>1059,2</t>
  </si>
  <si>
    <t>1060-1051-1052-1054-1055-1059-1056-1064-1009</t>
  </si>
  <si>
    <t>ΚΑΤΣΙΑΟΥΝΟΥ</t>
  </si>
  <si>
    <t>ΑΝΔΡΟΜΑΧΗ</t>
  </si>
  <si>
    <t>Τ351184</t>
  </si>
  <si>
    <t>1057,6</t>
  </si>
  <si>
    <t>1006-1064-1051-1009-1056</t>
  </si>
  <si>
    <t>ΜΠΟΥΛΤΗΣ</t>
  </si>
  <si>
    <t>ΑΝ093326</t>
  </si>
  <si>
    <t>827,2</t>
  </si>
  <si>
    <t>1057,2</t>
  </si>
  <si>
    <t>1052-1051-1009</t>
  </si>
  <si>
    <t>ΑΝΤΩΝΑΚΗΣ</t>
  </si>
  <si>
    <t>ΑΚ913855</t>
  </si>
  <si>
    <t>727,1</t>
  </si>
  <si>
    <t>1057,1</t>
  </si>
  <si>
    <t>1050-1053-1068-1067-1057-1061-1064-1007-1008-1009-1047-1048-1049-1051-1052-1054-1055-1056-1059-1060</t>
  </si>
  <si>
    <t>ΜΙΧΑΗΛΙΔΟΥ</t>
  </si>
  <si>
    <t>ΠΟΛΥΧΡΟΝΙΟΣ</t>
  </si>
  <si>
    <t>Χ394185</t>
  </si>
  <si>
    <t>1059-1054-1055-1056-1064-1061-1063-1065-1067-1068-1057-1005-1007-1008-1009-1047-1048-1049-1050-1051-1052-1053-1058-1060-1062-1066</t>
  </si>
  <si>
    <t>ΚΟΚΚΟΒΑ</t>
  </si>
  <si>
    <t>ΑΙ299104</t>
  </si>
  <si>
    <t>ΖΑΡΟΥΧΑΣ</t>
  </si>
  <si>
    <t>Χ389711</t>
  </si>
  <si>
    <t>786,5</t>
  </si>
  <si>
    <t>1056,5</t>
  </si>
  <si>
    <t>1059-1009-1064-1056-1051-1052-1060-1054-1055-1005</t>
  </si>
  <si>
    <t>ΚΑΝΤΖΕΛΗ</t>
  </si>
  <si>
    <t>ΒΑΣΙΛΙΚΗ-ΧΡΙΣΤΙΝΑ</t>
  </si>
  <si>
    <t>ΑΖ456984</t>
  </si>
  <si>
    <t>1055,7</t>
  </si>
  <si>
    <t>ΣΤΑΣΙΝΟΥ</t>
  </si>
  <si>
    <t>ΑΛΕΞΙΑ</t>
  </si>
  <si>
    <t>Ρ257217</t>
  </si>
  <si>
    <t>1055,5</t>
  </si>
  <si>
    <t>ΓΕΩΡΓΟΥΔΗ</t>
  </si>
  <si>
    <t>ΑΒ847338</t>
  </si>
  <si>
    <t>1055,4</t>
  </si>
  <si>
    <t>1066-1007-1008-1009-1051-1052-1056-1055-1060-1064-1053-1063-1059-1048</t>
  </si>
  <si>
    <t>Αγριομαλλου</t>
  </si>
  <si>
    <t>Μιραντα</t>
  </si>
  <si>
    <t>Μιλτιαδης</t>
  </si>
  <si>
    <t>ΑΒ240356</t>
  </si>
  <si>
    <t>1004-1005-1006-1007-1008-1009-1049-1050-1051-1052-1053-1054-1055-1056-1057-1058-1059-1060-1061-1062</t>
  </si>
  <si>
    <t>ΣΤΑΜΑΤΗ</t>
  </si>
  <si>
    <t>ΑΒ584080</t>
  </si>
  <si>
    <t>1025,2</t>
  </si>
  <si>
    <t>1055,2</t>
  </si>
  <si>
    <t>ΚΟΥΤΣΟΥΚΟΣ</t>
  </si>
  <si>
    <t>ΑΗ477498</t>
  </si>
  <si>
    <t>1054,3</t>
  </si>
  <si>
    <t>1051-1052-1056-1066-1009</t>
  </si>
  <si>
    <t>ΑΣΣΑΡΙΩΤΗ</t>
  </si>
  <si>
    <t xml:space="preserve">ΚΩΝΣΤΑΝΤΙΝΟΣ </t>
  </si>
  <si>
    <t>Χ859320</t>
  </si>
  <si>
    <t>ΦΕΛΩΝΗΣ</t>
  </si>
  <si>
    <t>ΑΗ820294</t>
  </si>
  <si>
    <t>1053,2</t>
  </si>
  <si>
    <t>1064-1054-1055-1056-1059-1066-1052-1051-1050-1060-1009-1062</t>
  </si>
  <si>
    <t>ΚΙΣΣΟΥΔΗ</t>
  </si>
  <si>
    <t>ΑΑ238461</t>
  </si>
  <si>
    <t>1052,6</t>
  </si>
  <si>
    <t>1055-1054-1064-1056-1059-1066-1050-1052-1051-1062-1060-1009</t>
  </si>
  <si>
    <t>ΛΥΡΑΚΗ</t>
  </si>
  <si>
    <t>ΑΒ485319</t>
  </si>
  <si>
    <t>1052,5</t>
  </si>
  <si>
    <t>1032-1009-1026-1028</t>
  </si>
  <si>
    <t>ΔΑΓΛΑΣ</t>
  </si>
  <si>
    <t>ΑΚ509197</t>
  </si>
  <si>
    <t>752,4</t>
  </si>
  <si>
    <t>1052,4</t>
  </si>
  <si>
    <t>1051-1060-1064-1054-1055-1056-1059-1009</t>
  </si>
  <si>
    <t>ΚΥΡΙΑΚΙΔΟΥ</t>
  </si>
  <si>
    <t>ΘΕΟΦΙΛΟΣ</t>
  </si>
  <si>
    <t>Χ887151</t>
  </si>
  <si>
    <t>1054-1055-1064-1059-1006-1056-1009-1060-1052-1051-1066-1050</t>
  </si>
  <si>
    <t>ΚΟΤΤΑ</t>
  </si>
  <si>
    <t>ΑΙ861693</t>
  </si>
  <si>
    <t>1051,3</t>
  </si>
  <si>
    <t>ΣΜΕΡΟΣ</t>
  </si>
  <si>
    <t>ΑΙ661594</t>
  </si>
  <si>
    <t>1056-1064-1059-1066-1009-1055-1006-1051-1052-1060</t>
  </si>
  <si>
    <t>ΠΑΠΑΓΕΩΡΓΙΟΥ</t>
  </si>
  <si>
    <t>ΑΖ791498</t>
  </si>
  <si>
    <t>1049,9</t>
  </si>
  <si>
    <t>1059-1056-1055-1064-1066-1009-1052-1051-1060</t>
  </si>
  <si>
    <t>ΒΡΕΤΤΑΚΟΥ</t>
  </si>
  <si>
    <t>ΑΑ084152</t>
  </si>
  <si>
    <t>ΜΑΝΤΑΣ</t>
  </si>
  <si>
    <t>ΑΜ489237</t>
  </si>
  <si>
    <t>849,2</t>
  </si>
  <si>
    <t>1049,2</t>
  </si>
  <si>
    <t>ΜΟΣΧΟΒΙΤΗ</t>
  </si>
  <si>
    <t>Χ266487</t>
  </si>
  <si>
    <t>1048,8</t>
  </si>
  <si>
    <t>ΠΑΠΑΔΗΜΗΤΡΙΟΥ</t>
  </si>
  <si>
    <t>ΑΕ798723</t>
  </si>
  <si>
    <t>728,2</t>
  </si>
  <si>
    <t>1048,2</t>
  </si>
  <si>
    <t>1061-1007-1067-1057-1064-1048-1055-1054-1056-1005-1047-1050-1051-1052-1058-1053-1063-1008-1009-1059-1065-1060-1062-1068</t>
  </si>
  <si>
    <t>ΧΑΜΑΜΤΖΗ</t>
  </si>
  <si>
    <t>ΧΡΥΣΟΥΛΑ</t>
  </si>
  <si>
    <t>ΑΕ460700</t>
  </si>
  <si>
    <t>1049-1005-1006-1009-1051-1052-1054-1055-1056-1057-1059-1060-1062-1064-1068</t>
  </si>
  <si>
    <t>ΚΑΛΛΙΜΑΝΗ</t>
  </si>
  <si>
    <t>ΟΥΡΑΝΙΑ</t>
  </si>
  <si>
    <t>ΑΖ299447</t>
  </si>
  <si>
    <t>1046,2</t>
  </si>
  <si>
    <t>1059-1055-1064-1056-1051-1052-1060-1009</t>
  </si>
  <si>
    <t>ΝΑΣΤΟΣ</t>
  </si>
  <si>
    <t>ΑΜ973666</t>
  </si>
  <si>
    <t>1045,7</t>
  </si>
  <si>
    <t>ΔΙΟΝΥΣΟΠΟΥΛΟΥ</t>
  </si>
  <si>
    <t>Χ006367</t>
  </si>
  <si>
    <t>1045,3</t>
  </si>
  <si>
    <t>1052-1051-1060-1056-1055-1054-1005-1009-1066-1059-1064-1050-1062</t>
  </si>
  <si>
    <t>ΜΑΡΑΚΗ</t>
  </si>
  <si>
    <t>Χ359753</t>
  </si>
  <si>
    <t>700,7</t>
  </si>
  <si>
    <t>1044,7</t>
  </si>
  <si>
    <t>1005-1006-1009-1050-1051-1052-1054-1055-1056-1059-1060-1062-1063-1064-1066</t>
  </si>
  <si>
    <t>ΧΑΤΖΗΝΙΚΟΛΑΟΥ</t>
  </si>
  <si>
    <t>Χ817442</t>
  </si>
  <si>
    <t>1044,4</t>
  </si>
  <si>
    <t>1056-1064-1055-1054-1059-1051-1052-1005-1009</t>
  </si>
  <si>
    <t>ΖΑΦΕΙΡΙΟΥ</t>
  </si>
  <si>
    <t>ΠΟΛΥΧΡΟΝΗΣ</t>
  </si>
  <si>
    <t>ΑΗ039946</t>
  </si>
  <si>
    <t>1043,8</t>
  </si>
  <si>
    <t>1052-1051-1060-1005-1006-1056-1055-1054-1064-1066-1062-1009-1050-1059</t>
  </si>
  <si>
    <t>ΚΟΥΤΛΟΥΜΠΑΣΗ</t>
  </si>
  <si>
    <t>ΑΒ858583</t>
  </si>
  <si>
    <t>1043,7</t>
  </si>
  <si>
    <t>ΜΑΡΓΑΡΙΤΑΚΗ</t>
  </si>
  <si>
    <t>ΑΙ436731</t>
  </si>
  <si>
    <t>743,6</t>
  </si>
  <si>
    <t>1043,6</t>
  </si>
  <si>
    <t>1009-1051-1056-1059</t>
  </si>
  <si>
    <t>ΒΑΓΙΑΝΝΗΣ</t>
  </si>
  <si>
    <t>Χ919389</t>
  </si>
  <si>
    <t>1062-1006-1009-1051-1052-1056-1059-1064-1054-1055-1060</t>
  </si>
  <si>
    <t>ΚΟΥΡΜΟΥΛΑΚΗ</t>
  </si>
  <si>
    <t>ΑΖ938688</t>
  </si>
  <si>
    <t>1042,9</t>
  </si>
  <si>
    <t>1059-1056-1055-1052-1051-1064-1060-1009-1066</t>
  </si>
  <si>
    <t>ΑΡΧΑΒΛΗ</t>
  </si>
  <si>
    <t>ΑΖ463961</t>
  </si>
  <si>
    <t>1042,1</t>
  </si>
  <si>
    <t>1009-1053-1008-1068-1048-1049-1051-1052-1007-1055-1060-1061-1066</t>
  </si>
  <si>
    <t>ΚΛΑΔΟΥ</t>
  </si>
  <si>
    <t>ΑΒ962947</t>
  </si>
  <si>
    <t>1040,7</t>
  </si>
  <si>
    <t>ΤΣΟΥΤΣΑΝΗ</t>
  </si>
  <si>
    <t>ΡΑΧΗΛ</t>
  </si>
  <si>
    <t>ΑΚ653583</t>
  </si>
  <si>
    <t>1038-1060-1045-1044-1046-1028-1025-1026-1027-1029-1032-1041-1034-1035-1036-1037-1042-1043-1033-1030-1039-1051-1052-1054-1055-1056-1059-1062-1064-1066-1050-1009</t>
  </si>
  <si>
    <t>ΦΑΝΤΑΚΗΣ</t>
  </si>
  <si>
    <t>ΑΙ471537</t>
  </si>
  <si>
    <t>1039,6</t>
  </si>
  <si>
    <t>1008-1009-1005-1006-1007</t>
  </si>
  <si>
    <t>ΤΣΑΠΑΛΙΑΝΑ</t>
  </si>
  <si>
    <t>ΑΑ364262</t>
  </si>
  <si>
    <t>1039,5</t>
  </si>
  <si>
    <t>ΚΡΕΑΝΓΚΑ</t>
  </si>
  <si>
    <t>ΒΑΣΙΛΕ</t>
  </si>
  <si>
    <t>ΑΒ792515</t>
  </si>
  <si>
    <t>939,4</t>
  </si>
  <si>
    <t>1039,4</t>
  </si>
  <si>
    <t>1005-1006-1009-1007-1008</t>
  </si>
  <si>
    <t>ΠΑΠΑΤΖΕΛΟΣ</t>
  </si>
  <si>
    <t>ΑΑ431159</t>
  </si>
  <si>
    <t>719,4</t>
  </si>
  <si>
    <t>1006-1054-1055-1005-1064-1059-1051-1052-1009-1056-1060-1066</t>
  </si>
  <si>
    <t>ΚΡΑΤΗΜΕΝΟΣ</t>
  </si>
  <si>
    <t>ΑΚ951807</t>
  </si>
  <si>
    <t>1038,5</t>
  </si>
  <si>
    <t>1060-1052-1051-1055-1056-1059-1064-1009-1066</t>
  </si>
  <si>
    <t>ΣΠΥΡΙΔΑΚΗ</t>
  </si>
  <si>
    <t>ΑΒ480212</t>
  </si>
  <si>
    <t>1038,3</t>
  </si>
  <si>
    <t>ΣΟΥΛΙΔΟΥ</t>
  </si>
  <si>
    <t>ΑΦΡΟΔΙΤΗ</t>
  </si>
  <si>
    <t>ΑΒ857008</t>
  </si>
  <si>
    <t>767,8</t>
  </si>
  <si>
    <t>1037,8</t>
  </si>
  <si>
    <t>1059-1054-1055-1056-1006-1064-1005-1052-1051-1060-1009-1050-1066-1062</t>
  </si>
  <si>
    <t>ΛΙΑΚΟΠΟΥΛΟΣ</t>
  </si>
  <si>
    <t>ΑΕ360794</t>
  </si>
  <si>
    <t>837,1</t>
  </si>
  <si>
    <t>1037,1</t>
  </si>
  <si>
    <t>1054-1055-1009-1064-1056-1066-1005-1051-1052</t>
  </si>
  <si>
    <t>ΚΑΡΥΤΣΙΩΤΗΣ</t>
  </si>
  <si>
    <t>Ν500865</t>
  </si>
  <si>
    <t>598,4</t>
  </si>
  <si>
    <t>1036,4</t>
  </si>
  <si>
    <t>1052-1051-1048-1049-1061-1060-1059-1064-1055-1008-1053-1068-1056-1009</t>
  </si>
  <si>
    <t>ΠΑΡΟΥΣΗ</t>
  </si>
  <si>
    <t>ΑΙ957454</t>
  </si>
  <si>
    <t>936,1</t>
  </si>
  <si>
    <t>1036,1</t>
  </si>
  <si>
    <t>ΑΜ881237</t>
  </si>
  <si>
    <t>1059-1064-1054-1055-1056-1060-1052-1051-1009-1005-1050-1063-1067-1007-1061-1065-1048-1066-1057-1058-1049-1006-1047-1068-1053-1062</t>
  </si>
  <si>
    <t>ΓΛΥΚΕΡΙΑ</t>
  </si>
  <si>
    <t>Χ889504</t>
  </si>
  <si>
    <t>1035,6</t>
  </si>
  <si>
    <t>1059-1055-1006-1056-1054-1064-1052-1051-1005-1060-1009</t>
  </si>
  <si>
    <t>ΤΣΟΥΚΑΛΗ</t>
  </si>
  <si>
    <t>ΧΡΥΣΑΝΘΗ</t>
  </si>
  <si>
    <t>Χ428163</t>
  </si>
  <si>
    <t>1035,4</t>
  </si>
  <si>
    <t>1005-1059-1052-1060-1064-1054-1055-1051-1056-1057-1007-1067-1061-1048-1047-1049-1009-1008-1053-1068-1066-1063-1065-1058-1050-1062</t>
  </si>
  <si>
    <t>ΤΣΟΛΑΡΙΔΟΥ</t>
  </si>
  <si>
    <t>Χ847600</t>
  </si>
  <si>
    <t>1034,5</t>
  </si>
  <si>
    <t>1009-1051-1052-1054-1055-1056-1059-1062-1064-1066</t>
  </si>
  <si>
    <t>ΠΑΠΑΛΕΞΑΝΔΡΟΥ</t>
  </si>
  <si>
    <t>ΕΥΓΕΝΙΑ</t>
  </si>
  <si>
    <t>Χ386761</t>
  </si>
  <si>
    <t>1034,4</t>
  </si>
  <si>
    <t>GIANNELOU</t>
  </si>
  <si>
    <t>ILIANA</t>
  </si>
  <si>
    <t>EVANGELOS</t>
  </si>
  <si>
    <t>ΑΑ976149</t>
  </si>
  <si>
    <t>1034,3</t>
  </si>
  <si>
    <t>1005-1006-1007-1009-1047-1048-1050-1051-1052-1053-1054-1056-1059-1062-1063-1064-1065-1066-1067-1068</t>
  </si>
  <si>
    <t>ΑΡΧΟΝΤΑΚΗ</t>
  </si>
  <si>
    <t>ΑΖ668603</t>
  </si>
  <si>
    <t>1033,7</t>
  </si>
  <si>
    <t>1063-1054-1055-1058-1064-1065-1061-1067-1056-1059-1007-1057-1049-1048-1060-1005-1051-1052-1050-1066-1068-1008-1053-1009</t>
  </si>
  <si>
    <t>ΠΑΠΑΖΟΓΛΟΥ</t>
  </si>
  <si>
    <t>ΑΕ197538</t>
  </si>
  <si>
    <t>1033,6</t>
  </si>
  <si>
    <t>ΚΥΦΩΝΙΔΟΥ</t>
  </si>
  <si>
    <t>ΑΕ613871</t>
  </si>
  <si>
    <t>1033,4</t>
  </si>
  <si>
    <t>1005-1006-1009-1051-1052-1054-1055-1056-1059-1060-1062-1064-1066</t>
  </si>
  <si>
    <t>ΑΡΧΟΝΤΗ</t>
  </si>
  <si>
    <t>Χ451735</t>
  </si>
  <si>
    <t>1009-1051-1052-1056-1059-1064-1054-1055-1060</t>
  </si>
  <si>
    <t>ΧΑΡΑΜΠΑΤΗ</t>
  </si>
  <si>
    <t>ΑΖ288598</t>
  </si>
  <si>
    <t>1059-1064-1009-1051-1052-1055-1056-1060</t>
  </si>
  <si>
    <t>ΤΣΟΥΡΟΥΚΙΔΟΥ</t>
  </si>
  <si>
    <t>ΓΕΣΘΗΜΑΝΗ</t>
  </si>
  <si>
    <t>ΑΚ448084</t>
  </si>
  <si>
    <t>1031,2</t>
  </si>
  <si>
    <t>1056-1052-1047-1005-1051-1060-1048-1054-1055-1059-1057-1064-1061-1067-1007-1008-1053-1009</t>
  </si>
  <si>
    <t>ΧΡΙΣΤΟΔΟΥΛΑΚΗΣ</t>
  </si>
  <si>
    <t>ΑΜ460427</t>
  </si>
  <si>
    <t>1030,8</t>
  </si>
  <si>
    <t>1009-1008-1068</t>
  </si>
  <si>
    <t>ΘΑΝΟΥ</t>
  </si>
  <si>
    <t>ΑΝ298294</t>
  </si>
  <si>
    <t>1009-1051-1052-1055-1056-1059-1060-1064-1065</t>
  </si>
  <si>
    <t>ΠΟΥΤΟΓΛΙΔΗΣ</t>
  </si>
  <si>
    <t>ΑΕ334760</t>
  </si>
  <si>
    <t>760,1</t>
  </si>
  <si>
    <t>1030,1</t>
  </si>
  <si>
    <t>1037-1034-1033-1030-1035-1006-1044-1042-1043-1025-1038-1041-1045-1029-1027-1005-1009-1026-1028-1032-1046</t>
  </si>
  <si>
    <t>ΚΕΡΑΜΙΤΣΟΠΟΥΛΟΣ</t>
  </si>
  <si>
    <t>ΠΟΛΥΚΛΕΙΤΟΣ</t>
  </si>
  <si>
    <t>ΑΖ892763</t>
  </si>
  <si>
    <t>689,7</t>
  </si>
  <si>
    <t>1029,7</t>
  </si>
  <si>
    <t>1006-1009-1005-1056-1055-1054-1064-1059-1052-1051-1060-1050-1062-1066</t>
  </si>
  <si>
    <t>ΧΡΙΣΤΙΝΑ-ΙΩΑΝΝΑ</t>
  </si>
  <si>
    <t>ΘΕΟΧΑΡΗΣ</t>
  </si>
  <si>
    <t>ΑΚ978870</t>
  </si>
  <si>
    <t>1029,1</t>
  </si>
  <si>
    <t>1005-1006-1009-1050-1051-1052-1054-1055-1056-1059-1060</t>
  </si>
  <si>
    <t>ΒΟΥΛΓΑΡΕΛΛΗ</t>
  </si>
  <si>
    <t>ΑΒ611234</t>
  </si>
  <si>
    <t>1062-1060-1051-1052-1005-1047-1048-1049-1006-1007-1054-1055-1009-1053-1056-1057-1059-1063-1064-1008-1061</t>
  </si>
  <si>
    <t>ΚΕΣΚΙΛΙΔΟΥ</t>
  </si>
  <si>
    <t>ΑΖ786337</t>
  </si>
  <si>
    <t>1028,8</t>
  </si>
  <si>
    <t>1055-1054-1064-1059-1056-1051-1052-1060-1005-1009</t>
  </si>
  <si>
    <t>ΠΡΙΝΑΡΗ</t>
  </si>
  <si>
    <t>ΑΙ974742</t>
  </si>
  <si>
    <t>873,4</t>
  </si>
  <si>
    <t>1028,4</t>
  </si>
  <si>
    <t>ΤΖΙΚΑ</t>
  </si>
  <si>
    <t>ΑΙ437640</t>
  </si>
  <si>
    <t>757,9</t>
  </si>
  <si>
    <t>1027,9</t>
  </si>
  <si>
    <t>1009-1053-1008-1068-1054-1055-1056-1060-1051-1052-1005-1059-1064-1061-1049-1047-1048-1063-1067-1007-1058</t>
  </si>
  <si>
    <t>ΠΟΝΤΙΚΗΣ</t>
  </si>
  <si>
    <t>ΑΖ415644</t>
  </si>
  <si>
    <t>1050-1056-1035-1054-1055-1043-1046-1028-1005-1006-1009-1025-1026-1027-1029-1030-1031-1032-1033-1034-1037-1038-1039-1041-1042-1044-1045-1051-1052-1059-1060-1062-1064-1066-1036</t>
  </si>
  <si>
    <t>ΝΤΑΒΑΡΙΝΟΣ</t>
  </si>
  <si>
    <t>ΑΚ904712</t>
  </si>
  <si>
    <t>1027,1</t>
  </si>
  <si>
    <t>1006-1054-1064-1056-1059-1050-1066-1052-1051-1005-1009-1060-1062</t>
  </si>
  <si>
    <t>ΑΠΑΤΑΓΓΕΛΟΣ</t>
  </si>
  <si>
    <t>Χ294546</t>
  </si>
  <si>
    <t>1060-1005-1052-1051-1009-1054-1055-1056-1059-1064</t>
  </si>
  <si>
    <t>ΓΙΩΤΙΚΑ</t>
  </si>
  <si>
    <t>ΑΚ989901</t>
  </si>
  <si>
    <t>1064-1006-1009-1051-1052-1054-1055-1056-1059-1060</t>
  </si>
  <si>
    <t>ΣΤΟΓΙΑΝΤΣΗΣ</t>
  </si>
  <si>
    <t>ΑΒ113567</t>
  </si>
  <si>
    <t>1026,4</t>
  </si>
  <si>
    <t>1007-1008-1009-1047-1048-1049-1050-1051-1052-1053-1054-1055-1056-1057-1058-1059-1060-1061-1063-1064-1065-1067-1068</t>
  </si>
  <si>
    <t>ΒΑΡΒΙΤΣΙΩΤΗΣ</t>
  </si>
  <si>
    <t>ΑΕ066929</t>
  </si>
  <si>
    <t>1026,3</t>
  </si>
  <si>
    <t>1060-1052-1051-1005-1055-1054-1056-1009-1064-1059</t>
  </si>
  <si>
    <t>ΝΙΚΟΛΑΙΔΟΥ</t>
  </si>
  <si>
    <t>ΑΙ324252</t>
  </si>
  <si>
    <t>669,9</t>
  </si>
  <si>
    <t>1025,9</t>
  </si>
  <si>
    <t>1054-1062-1064-1009-1051-1052-1055-1056-1059-1060</t>
  </si>
  <si>
    <t>ΤΑΤΗΣ</t>
  </si>
  <si>
    <t>ΑΑ479599</t>
  </si>
  <si>
    <t>1025,7</t>
  </si>
  <si>
    <t>ΛΕΟΝΤΑΡΑΚΗ</t>
  </si>
  <si>
    <t>ΦΑΝΟΥΡΙΟΣ</t>
  </si>
  <si>
    <t>Φ253697</t>
  </si>
  <si>
    <t>1009-1054-1055-1051-1052-1060-1064-1005-1056-1059</t>
  </si>
  <si>
    <t>ΠΑΓΟΥΝΗ</t>
  </si>
  <si>
    <t>ΑΖ300930</t>
  </si>
  <si>
    <t>1059-1055-1054-1056-1064-1050-1051-1052-1005-1060-1066-1062-1009</t>
  </si>
  <si>
    <t>ΜΠΕΛΛΟΥ</t>
  </si>
  <si>
    <t>ΑΚ919877</t>
  </si>
  <si>
    <t>724,9</t>
  </si>
  <si>
    <t>1024,9</t>
  </si>
  <si>
    <t>1064-1055-1054-1052-1005-1059-1066-1051-1056-1060-1009-1050-1062</t>
  </si>
  <si>
    <t>ΠΟΜΩΝΗΣ</t>
  </si>
  <si>
    <t>Χ806059</t>
  </si>
  <si>
    <t>1060-1049-1007-1067-1057-1048-1047-1061-1051-1052-1056-1054-1055-1059-1058-1063-1064-1065-1066-1008-1068-1009-1053-1062-1050</t>
  </si>
  <si>
    <t>ΡΑΜΟΥΤΣΑΚΗ</t>
  </si>
  <si>
    <t>ΚΡΟΥΣΤΑΛΕΝΙΑ</t>
  </si>
  <si>
    <t>ΑΕ456594</t>
  </si>
  <si>
    <t>754,6</t>
  </si>
  <si>
    <t>1024,6</t>
  </si>
  <si>
    <t>1009-1053-1008-1068</t>
  </si>
  <si>
    <t>ΓΚΑΓΚΑΝΑΣΙΟΥ</t>
  </si>
  <si>
    <t>Τ397689</t>
  </si>
  <si>
    <t>1006-1064-1055-1054-1005-1051-1052-1056-1059-1060-1009</t>
  </si>
  <si>
    <t>ΚΑΡΑΛΗΣ</t>
  </si>
  <si>
    <t>ΙΩΑΚΕΙΜ</t>
  </si>
  <si>
    <t>ΑΒ147469</t>
  </si>
  <si>
    <t>1023,8</t>
  </si>
  <si>
    <t>1055-1064-1059-1056-1009-1051-1052-1060-1066</t>
  </si>
  <si>
    <t>ΣΑΚΚΑΣ</t>
  </si>
  <si>
    <t>ΑΜ741371</t>
  </si>
  <si>
    <t>1060-1054-1055-1056-1052-1051-1059-1064-1009-1005-1006-1050-1062-1066</t>
  </si>
  <si>
    <t>ΖΑΡΧΑΝΗ</t>
  </si>
  <si>
    <t>ΕΥΑΓΓΕΛΙΑ  ΜΑΡΙΑ</t>
  </si>
  <si>
    <t>ΑΙ581830</t>
  </si>
  <si>
    <t>1021,3</t>
  </si>
  <si>
    <t>1060-1052-1051-1005-1006-1055-1054-1056-1059-1064-1009-1066-1050-1062</t>
  </si>
  <si>
    <t>ΑΜΟΝΑΧΑΚΗ</t>
  </si>
  <si>
    <t>ΑΖ958963</t>
  </si>
  <si>
    <t>1020,7</t>
  </si>
  <si>
    <t>ΓΙΑΝΝΟ</t>
  </si>
  <si>
    <t>ΜΑΡΣΕΛΝΤ</t>
  </si>
  <si>
    <t>ΜΙΧΑΛ</t>
  </si>
  <si>
    <t>ΑΚ718802</t>
  </si>
  <si>
    <t>840,4</t>
  </si>
  <si>
    <t>1020,4</t>
  </si>
  <si>
    <t>ΤΣΙΓΚΟΛΗΣ</t>
  </si>
  <si>
    <t>ΑΜ982587</t>
  </si>
  <si>
    <t>1005-1066-1051-1052-1064-1060-1059-1054-1055-1009-1056-1062-1050</t>
  </si>
  <si>
    <t>ΒΛΑΧΟΥ</t>
  </si>
  <si>
    <t>ΠΕΡΣΕΦΟΝΗ</t>
  </si>
  <si>
    <t>Χ277826</t>
  </si>
  <si>
    <t>1019,8</t>
  </si>
  <si>
    <t>1060-1051-1052-1055-1059-1064-1056-1009-1066</t>
  </si>
  <si>
    <t>ΣΟΦΙΑΝΟΥ</t>
  </si>
  <si>
    <t>ΑΕ226665</t>
  </si>
  <si>
    <t>1019,2</t>
  </si>
  <si>
    <t>1060-1005-1052-1059-1009-1051-1064-1054-1055-1056</t>
  </si>
  <si>
    <t>ΣΠΗΛΙΟΠΟΥΛΟΥ</t>
  </si>
  <si>
    <t>ΑΙ202317</t>
  </si>
  <si>
    <t>1019,1</t>
  </si>
  <si>
    <t>1052-1051-1060-1005-1064-1054-1055-1059-1056-1009</t>
  </si>
  <si>
    <t>ΜΗΤΖΙΒΗΡΗ</t>
  </si>
  <si>
    <t>ΑΙ312925</t>
  </si>
  <si>
    <t>988,9</t>
  </si>
  <si>
    <t>1018,9</t>
  </si>
  <si>
    <t>1009-1051-1052-1056-1059-1064-1066</t>
  </si>
  <si>
    <t>ΒΡΗΣ</t>
  </si>
  <si>
    <t>ΑΕ710569</t>
  </si>
  <si>
    <t>1066-1060-1052-1051-1009-1006-1005</t>
  </si>
  <si>
    <t>Φ287948</t>
  </si>
  <si>
    <t>746,9</t>
  </si>
  <si>
    <t>1016,9</t>
  </si>
  <si>
    <t>1006-1064-1054-1055-1052-1051-1056-1059-1009-1005-1060-1066-1062-1050</t>
  </si>
  <si>
    <t>ΚΑΝΙΔΟΥ</t>
  </si>
  <si>
    <t>ΑΖ915374</t>
  </si>
  <si>
    <t>1016,4</t>
  </si>
  <si>
    <t>1050-1060-1009-1064-1051-1052-1062-1066-1056-1054-1055-1059</t>
  </si>
  <si>
    <t>ΑΛΕΒΙΖΟΣ</t>
  </si>
  <si>
    <t>ΑΕ066514</t>
  </si>
  <si>
    <t>1014,7</t>
  </si>
  <si>
    <t>1005-1009-1051-1052-1054-1055-1056-1059-1060-1064</t>
  </si>
  <si>
    <t>ΚΩΝΣΤΑΝΤΙΝΟΥ</t>
  </si>
  <si>
    <t>Χ802783</t>
  </si>
  <si>
    <t>1060-1066-1009-1051-1052-1056-1059-1054-1050-1062-1064</t>
  </si>
  <si>
    <t>ΤΣΙΟΝΚΗΣ</t>
  </si>
  <si>
    <t>ΑΜ278842</t>
  </si>
  <si>
    <t>1006-1009-1051-1052-1054-1055-1056-1059-1060-1064</t>
  </si>
  <si>
    <t>ΣΥΡΙΓΟΣ</t>
  </si>
  <si>
    <t>ΑΜ221364</t>
  </si>
  <si>
    <t>1014,6</t>
  </si>
  <si>
    <t>ΠΑΝΤΕΛΑΡΟΣ</t>
  </si>
  <si>
    <t>ΑΜ932905</t>
  </si>
  <si>
    <t>1014,3</t>
  </si>
  <si>
    <t>1055-1052-1051-1060-1009-1056-1059-1064-1066</t>
  </si>
  <si>
    <t>ΖΑΡΔΑ</t>
  </si>
  <si>
    <t>ΑΑ975310</t>
  </si>
  <si>
    <t>1013,9</t>
  </si>
  <si>
    <t>1052-1051-1060-1005-1006-1064-1059-1056-1055-1009-1054-1048-1047-1057-1007-1067-1061-1049-1068-1008-1053-1063-1058-1065-1066-1050-1062</t>
  </si>
  <si>
    <t>ΡΗΓΟΠΟΥΛΟΥ</t>
  </si>
  <si>
    <t>Χ305352</t>
  </si>
  <si>
    <t>1013,6</t>
  </si>
  <si>
    <t>ΜΗΝΑΣ</t>
  </si>
  <si>
    <t>Χ359304</t>
  </si>
  <si>
    <t>1013,2</t>
  </si>
  <si>
    <t>ΧΑΡΙΚΛΕΙΑ</t>
  </si>
  <si>
    <t>ΑΖ130216</t>
  </si>
  <si>
    <t>741,4</t>
  </si>
  <si>
    <t>1011,4</t>
  </si>
  <si>
    <t>1009-1054-1055-1052-1051-1056-1059-1060-1064</t>
  </si>
  <si>
    <t>ΤΖΟΥΠΗΣ</t>
  </si>
  <si>
    <t>Φ203353</t>
  </si>
  <si>
    <t>1007-1008-1009-1047-1048-1049-1050-1051-1052-1053-1054-1055-1056-1057-1058-1059-1060-1061-1062-1063-1064-1065-1066-1067-1068-1005</t>
  </si>
  <si>
    <t>ΣΤΑΜΟΥ</t>
  </si>
  <si>
    <t>ΑΕ321351</t>
  </si>
  <si>
    <t>1005-1054-1055-1059-1064-1066-1051-1052-1056-1060-1009-1062</t>
  </si>
  <si>
    <t>ΙΩΑΚΕΙΜΙΔΗΣ</t>
  </si>
  <si>
    <t>ΜΑΡΙΟΣ</t>
  </si>
  <si>
    <t>ΑΖ814026</t>
  </si>
  <si>
    <t>1064-1054-1055-1006-1005-1059-1056-1060-1051-1052-1009</t>
  </si>
  <si>
    <t>ΜΑΛΑΜΟΥ</t>
  </si>
  <si>
    <t>Χ866443</t>
  </si>
  <si>
    <t>1009,9</t>
  </si>
  <si>
    <t>ΣΟΙΛΕΜΕΤΖΙΔΟΥ</t>
  </si>
  <si>
    <t>ΓΑΒΡΙΗΛ</t>
  </si>
  <si>
    <t>ΑΙ367310</t>
  </si>
  <si>
    <t>1008,8</t>
  </si>
  <si>
    <t>1065-1059-1056-1055-1052-1051-1009-1064-1066-1060</t>
  </si>
  <si>
    <t>ΒΟΡΓΙΑ</t>
  </si>
  <si>
    <t>ΑΒ495331</t>
  </si>
  <si>
    <t>1051-1052-1066-1055-1060-1059-1064-1056-1009</t>
  </si>
  <si>
    <t>ΦΑΡΜΑΚΗ</t>
  </si>
  <si>
    <t>ΕΥΑΝΘΙΑ</t>
  </si>
  <si>
    <t>Π417005</t>
  </si>
  <si>
    <t>1008,3</t>
  </si>
  <si>
    <t>1055-1064-1059-1056-1051-1052-1009</t>
  </si>
  <si>
    <t>ΡΟΥΦΟΣ</t>
  </si>
  <si>
    <t>ΑΖ910328</t>
  </si>
  <si>
    <t>738,1</t>
  </si>
  <si>
    <t>1008,1</t>
  </si>
  <si>
    <t>1005-1006-1009-1064-1066-1050-1051-1052-1054-1055-1056-1059-1060-1062</t>
  </si>
  <si>
    <t>ΤΡΑΝΤΖΑ</t>
  </si>
  <si>
    <t>ΑΑ379288</t>
  </si>
  <si>
    <t>1059-1054-1055-1064-1005-1056-1051-1052-1060-1009</t>
  </si>
  <si>
    <t>ΚΑΡΟΛΙΔΗΣ</t>
  </si>
  <si>
    <t>ΠΑΡΑΣΚΕΥΑΣ</t>
  </si>
  <si>
    <t>ΑΚ473461</t>
  </si>
  <si>
    <t>1006,3</t>
  </si>
  <si>
    <t>1009-1054-1056</t>
  </si>
  <si>
    <t>ΚΑΣΑΡΑ</t>
  </si>
  <si>
    <t>ΑΕ477635</t>
  </si>
  <si>
    <t>735,9</t>
  </si>
  <si>
    <t>1005,9</t>
  </si>
  <si>
    <t>1048-1057-1067-1007-1061-1051-1064-1060-1009-1053-1068-1008</t>
  </si>
  <si>
    <t>ΚΑΛΛΙΤΣΗΣ</t>
  </si>
  <si>
    <t>Χ379081</t>
  </si>
  <si>
    <t>645,7</t>
  </si>
  <si>
    <t>1005,7</t>
  </si>
  <si>
    <t>1054-1055-1059-1007-1067-1057-1056-1052-1009-1053-1008-1068-1049-1060-1064-1048-1061-1051-1047-1005-1058-1065-1063-1062-1066-1050</t>
  </si>
  <si>
    <t>ΜΗΤΡΟΥ</t>
  </si>
  <si>
    <t>ΦΙΛΟΠΟΙΜΗΝ</t>
  </si>
  <si>
    <t>ΑΗ703154</t>
  </si>
  <si>
    <t>705,1</t>
  </si>
  <si>
    <t>1005,1</t>
  </si>
  <si>
    <t>1060-1054-1055-1051-1052-1064-1059-1056-1009</t>
  </si>
  <si>
    <t>ΚΟΝΤΟΓΕΩΡΓΟΣ</t>
  </si>
  <si>
    <t>ΞΕΝΟΦΩΝ</t>
  </si>
  <si>
    <t>ΑΕ613192</t>
  </si>
  <si>
    <t>1053-1068-1048-1009-1008-1061-1060</t>
  </si>
  <si>
    <t>ΠΛΑΤΣΙΟΥΡΗ</t>
  </si>
  <si>
    <t>ΕΛΛΗ</t>
  </si>
  <si>
    <t>ΦΙΛΙΠΠΟΣ</t>
  </si>
  <si>
    <t>ΑΙ704698</t>
  </si>
  <si>
    <t>1004,8</t>
  </si>
  <si>
    <t>1057-1067-1007-1068-1008-1053-1009-1061-1054-1055-1056-1060-1051-1052-1064-1059-1049-1048-1047</t>
  </si>
  <si>
    <t>ΠΑΠΑΛΕΞΙΟΥ</t>
  </si>
  <si>
    <t>ΑΝ239793</t>
  </si>
  <si>
    <t>674,3</t>
  </si>
  <si>
    <t>1004,3</t>
  </si>
  <si>
    <t>ΜΟΥΡΑΤΙΔΗΣ</t>
  </si>
  <si>
    <t>Φ275394</t>
  </si>
  <si>
    <t>ΚΑΜΜΕΝΟΣ</t>
  </si>
  <si>
    <t>ΛΕΩΝΙΔΑΣ</t>
  </si>
  <si>
    <t>Τ338129</t>
  </si>
  <si>
    <t>1003,7</t>
  </si>
  <si>
    <t>1055-1064-1059-1054-1066-1006-1005-1009-1056-1051-1052-1060-1062-1050</t>
  </si>
  <si>
    <t>ΤΡΙΒΥΖΑΔΑΚΗ</t>
  </si>
  <si>
    <t>ΝΙΚΗΤΑΣ</t>
  </si>
  <si>
    <t>Χ347390</t>
  </si>
  <si>
    <t>1003,4</t>
  </si>
  <si>
    <t>ΑΙ322327</t>
  </si>
  <si>
    <t>1001,5</t>
  </si>
  <si>
    <t>1057-1067-1007-1006-1061-1048-1064-1054-1055-1059-1047-1005-1063-1058-1056-1060-1065-1051-1052-1049-1050-1068-1053-1066-1008-1009-1062</t>
  </si>
  <si>
    <t>ΜΑΡΚΙΔΗΣ</t>
  </si>
  <si>
    <t>ΑΜ291300</t>
  </si>
  <si>
    <t>1054-1061-1067-1057-1047-1007-1009-1049-1053-1055-1056-1048-1059-1060-1064-1068-1051-1008-1052</t>
  </si>
  <si>
    <t>ΒΕΡΓΗΣ</t>
  </si>
  <si>
    <t>ΕΜΜΑΝ</t>
  </si>
  <si>
    <t>Χ350479</t>
  </si>
  <si>
    <t>1001,3</t>
  </si>
  <si>
    <t>ΚΑΡΑΝΙΚΑΣ</t>
  </si>
  <si>
    <t>ΛΑΕΡΤΗΣ</t>
  </si>
  <si>
    <t>Π512055</t>
  </si>
  <si>
    <t>1000,4</t>
  </si>
  <si>
    <t>ΖΕΡΒΑΚΗ</t>
  </si>
  <si>
    <t>ΑΙ442168</t>
  </si>
  <si>
    <t>ΣΚΟΥΜΑ</t>
  </si>
  <si>
    <t>ΙΦΙΓΕΝΕΙΑ</t>
  </si>
  <si>
    <t>ΚΩΝ/ΝΟΣ</t>
  </si>
  <si>
    <t>ΑΒ811877</t>
  </si>
  <si>
    <t>1068-1060-1049-1054-1055-1061-1006-1058-1067-1007-1053-1009-1008-1051-1052-1057-1047-1005-1048-1050-1056-1063-1062-1065-1059-1064-1066</t>
  </si>
  <si>
    <t>ΑΘΑΝΑΣΙΑΔΟΥ</t>
  </si>
  <si>
    <t>Φ476435</t>
  </si>
  <si>
    <t>999,7</t>
  </si>
  <si>
    <t>1062-1054-1055-1056-1066-1009-1051-1052-1060</t>
  </si>
  <si>
    <t>ΜΠΑΚΟΥΣΗ</t>
  </si>
  <si>
    <t>ΑΚ597310</t>
  </si>
  <si>
    <t>998,7</t>
  </si>
  <si>
    <t>1052-1051-1060-1062-1054-1055-1005-1066-1056-1009-1059-1064-1050</t>
  </si>
  <si>
    <t>ΜΠΡΟΥΜΑ</t>
  </si>
  <si>
    <t>ΠΑΝΑΓΟΥΛΑ</t>
  </si>
  <si>
    <t>ΑΗ209776</t>
  </si>
  <si>
    <t>997,8</t>
  </si>
  <si>
    <t>1060-1052-1051-1064-1055-1056-1009-1059</t>
  </si>
  <si>
    <t>ΦΩΤΟΥΔΗΣ</t>
  </si>
  <si>
    <t>ΑΓΓΕΛΟΣ</t>
  </si>
  <si>
    <t>ΑΗ345950</t>
  </si>
  <si>
    <t>997,1</t>
  </si>
  <si>
    <t>1065-1055-1056-1054-1064-1061-1059-1068-1008-1007-1048-1051-1052-1049-1057-1067-1060-1047-1053-1009-1058-1063-1066-1062</t>
  </si>
  <si>
    <t>ΛΑΧΛΑΛΙ</t>
  </si>
  <si>
    <t>ΛΑΡΜΠΙ</t>
  </si>
  <si>
    <t>ΑΧΜΕΤ</t>
  </si>
  <si>
    <t>ΑΑ044817</t>
  </si>
  <si>
    <t>606,1</t>
  </si>
  <si>
    <t>996,1</t>
  </si>
  <si>
    <t>1009-1064-1059-1060-1051-1052</t>
  </si>
  <si>
    <t>ΚΑΙΑΦΑ</t>
  </si>
  <si>
    <t>ΑΜ310649</t>
  </si>
  <si>
    <t>ΠΑΡΑΣΚΕΥΟΠΟΥΛΟΥ</t>
  </si>
  <si>
    <t>ΑΗ806967</t>
  </si>
  <si>
    <t>995,4</t>
  </si>
  <si>
    <t>1055-1054-1056-1064-1052-1051-1060-1005-1059-1009</t>
  </si>
  <si>
    <t>ΖΕΓΑ</t>
  </si>
  <si>
    <t>ΑΕ828544</t>
  </si>
  <si>
    <t>995,2</t>
  </si>
  <si>
    <t>1059-1054-1055-1064-1056-1051-1052-1060-1005-1009-1050-1066-1062-1007-1008-1047-1048-1049-1053-1057-1058-1061-1063-1065-1067-1068</t>
  </si>
  <si>
    <t>ΛΑΣΠΑ</t>
  </si>
  <si>
    <t>Φ071604</t>
  </si>
  <si>
    <t>629,2</t>
  </si>
  <si>
    <t>1052-1051-1060-1055-1059-1009-1066-1056-1064</t>
  </si>
  <si>
    <t>ΚΟΓΧΥΛΑΚΗ</t>
  </si>
  <si>
    <t>AM053553</t>
  </si>
  <si>
    <t>1060-1052-1008-1068-1009-1053-1051-1047-1048-1054-1055-1064-1059-1067-1007-1056-1066-1065-1049-1061-1063-1062-1050</t>
  </si>
  <si>
    <t>ΚΑΨΗΣ</t>
  </si>
  <si>
    <t>Φ014442</t>
  </si>
  <si>
    <t>994,9</t>
  </si>
  <si>
    <t>1060-1052-1005-1051-1009-1064-1054-1055-1059-1056-1066-1062-1050</t>
  </si>
  <si>
    <t>ΜΑΣΤΟΡΑΚΗΣ</t>
  </si>
  <si>
    <t>ΜΑΡΙΝΟΣ</t>
  </si>
  <si>
    <t>ΑΒ184570</t>
  </si>
  <si>
    <t>1053-1008-1068-1009</t>
  </si>
  <si>
    <t>ΚΑΠΕΛΗ</t>
  </si>
  <si>
    <t>ΑΖ220234</t>
  </si>
  <si>
    <t>994,8</t>
  </si>
  <si>
    <t>1051-1052-1060-1055-1059-1064-1056-1009-1066</t>
  </si>
  <si>
    <t>ΔΙΠΛΑΡΗ</t>
  </si>
  <si>
    <t>ΑΕ996499</t>
  </si>
  <si>
    <t>964,7</t>
  </si>
  <si>
    <t>994,7</t>
  </si>
  <si>
    <t>1064-1066-1059-1051-1056-1060-1009</t>
  </si>
  <si>
    <t>ΠΑΝΤΙΔΟΥ</t>
  </si>
  <si>
    <t>Χ433106</t>
  </si>
  <si>
    <t>993,6</t>
  </si>
  <si>
    <t>1060-1005-1051-1052-1054-1055-1047-1048-1061-1006-1007-1009-1053-1008-1049-1057-1068-1067-1066</t>
  </si>
  <si>
    <t>ΜΠΟΥΡΑ</t>
  </si>
  <si>
    <t>ΑΒ499195</t>
  </si>
  <si>
    <t>993,4</t>
  </si>
  <si>
    <t>1009-1047-1048-1051-1065-1066-1067-1068</t>
  </si>
  <si>
    <t>ΑΜ639654</t>
  </si>
  <si>
    <t>722,7</t>
  </si>
  <si>
    <t>992,7</t>
  </si>
  <si>
    <t>ΝΤΑΟΥΤΗ</t>
  </si>
  <si>
    <t>ΑΗ904006</t>
  </si>
  <si>
    <t>1055-1054-1064-1056-1059-1051-1052-1009-1066-1060-1050-1062-1005</t>
  </si>
  <si>
    <t>ΦΕΡΕΤΖΑΚΗ</t>
  </si>
  <si>
    <t>ΑΗ192941</t>
  </si>
  <si>
    <t>992,6</t>
  </si>
  <si>
    <t>1009-1066-1051-1052-1055-1056-1060-1059-1064</t>
  </si>
  <si>
    <t>ΧΑΤΖΗΜΑΡΚΑΚΗ</t>
  </si>
  <si>
    <t>ΑΗ145939</t>
  </si>
  <si>
    <t>662,2</t>
  </si>
  <si>
    <t>992,2</t>
  </si>
  <si>
    <t>ΑΝΔΡΙΩΤΗΣ ΚΩΝΣΤΑΝΤΙΟΣ</t>
  </si>
  <si>
    <t>Φ297869</t>
  </si>
  <si>
    <t>721,6</t>
  </si>
  <si>
    <t>991,6</t>
  </si>
  <si>
    <t>1062-1005-1006-1009</t>
  </si>
  <si>
    <t>ΠΑΠΠΑΣ</t>
  </si>
  <si>
    <t>ΑΒ117316</t>
  </si>
  <si>
    <t>720,5</t>
  </si>
  <si>
    <t>990,5</t>
  </si>
  <si>
    <t>1064-1054-1055-1051-1052-1056-1061-1067-1057-1007-1047-1048-1049-1058-1063-1065-1060-1068-1008-1009-1050-1062-1059</t>
  </si>
  <si>
    <t>ΖΑΧΟΥ</t>
  </si>
  <si>
    <t>ΑΕ686811</t>
  </si>
  <si>
    <t>990,1</t>
  </si>
  <si>
    <t>1055-1056-1064-1060-1009-1066-1052-1051-1059-1005</t>
  </si>
  <si>
    <t>ΝΤΟΛΙΟΣ</t>
  </si>
  <si>
    <t>ΑΖ414980</t>
  </si>
  <si>
    <t>1050-1056-1052-1051-1060-1005-1055-1064-1059-1054-1009-1062-1066</t>
  </si>
  <si>
    <t>ΚΟΝΤΑΞΗ</t>
  </si>
  <si>
    <t>ΑΕ287619</t>
  </si>
  <si>
    <t>989,2</t>
  </si>
  <si>
    <t>1049-1054-1055-1059-1060-1061-1067-1007-1006-1005-1008-1009-1047-1048-1050-1051-1052-1053-1056-1057-1058-1062-1063-1064-1065-1066-1068</t>
  </si>
  <si>
    <t>ΦΑΤΣΗ</t>
  </si>
  <si>
    <t>Φ479541</t>
  </si>
  <si>
    <t>988,2</t>
  </si>
  <si>
    <t>1055-1054-1005-1009-1051-1052-1064-1061-1053-1006-1047-1048</t>
  </si>
  <si>
    <t>ΣΑΡΑΝΤΟΠΟΥΛΟΥ</t>
  </si>
  <si>
    <t>ΓΑΡΥΦΑΛΛΙΑ</t>
  </si>
  <si>
    <t>ΣΑΡΑΝΤΟΣ</t>
  </si>
  <si>
    <t>ΑΕ252059</t>
  </si>
  <si>
    <t>987,9</t>
  </si>
  <si>
    <t>1009-1005-1006-1008</t>
  </si>
  <si>
    <t>ΣΑΡΙΚΕΝΑΣ</t>
  </si>
  <si>
    <t>ΑΚ938202</t>
  </si>
  <si>
    <t>1009-1051-1052-1055-1056-1059-1060-1064-1066</t>
  </si>
  <si>
    <t>ΑΚ437946</t>
  </si>
  <si>
    <t>667,7</t>
  </si>
  <si>
    <t>987,7</t>
  </si>
  <si>
    <t>ΚΑΡΑΝΙΚΟΛΑΣ</t>
  </si>
  <si>
    <t>ΑΖ979339</t>
  </si>
  <si>
    <t>987,5</t>
  </si>
  <si>
    <t>1052-1005-1051-1055-1054-1060-1064-1056-1009-1059</t>
  </si>
  <si>
    <t>ΒΟΥΚΙΑ</t>
  </si>
  <si>
    <t>ΑΖ505000</t>
  </si>
  <si>
    <t>987,3</t>
  </si>
  <si>
    <t>1060-1051-1052-1005-1006-1009-1054-1055-1056-1064-1059</t>
  </si>
  <si>
    <t>ΑΛΕΞΑΝΔΡΗ</t>
  </si>
  <si>
    <t>AM372296</t>
  </si>
  <si>
    <t>986,4</t>
  </si>
  <si>
    <t>1057-1053-1061-1008-1067-1007-1058-1068-1047-1063-1065-1048-1054-1064-1056-1066-1059-1055-1009-1050-1052-1051-1062-1060-1005</t>
  </si>
  <si>
    <t>ΧΡΙΣΤΟΦΟΡΟΣ</t>
  </si>
  <si>
    <t>ΑΚ147096</t>
  </si>
  <si>
    <t>984,1</t>
  </si>
  <si>
    <t>ΚΑΡΑΤΑΣΗ</t>
  </si>
  <si>
    <t>ΑΙ872199</t>
  </si>
  <si>
    <t>1054-1055-1059-1061-1006-1056-1063-1064-1007-1067-1068-1008-1009-1053-1005-1047-1066-1050-1051-1052-1057-1058-1060-1062-1065-1049</t>
  </si>
  <si>
    <t>ΑΝ349431</t>
  </si>
  <si>
    <t>983,1</t>
  </si>
  <si>
    <t>1059-1054-1055-1064-1056-1051-1052-1005-1009-1060</t>
  </si>
  <si>
    <t>ΦΕΡΕΝΤΙΝΟΥ</t>
  </si>
  <si>
    <t>ΑΖ234290</t>
  </si>
  <si>
    <t>982,4</t>
  </si>
  <si>
    <t>1060-1052-1051-1059-1056-1064-1009</t>
  </si>
  <si>
    <t>ΛΙΑΝΟΣ</t>
  </si>
  <si>
    <t>ΒΑΙΟΣ</t>
  </si>
  <si>
    <t>ΑΒ101736</t>
  </si>
  <si>
    <t>981,8</t>
  </si>
  <si>
    <t>ΒΟΡΡΙΣΗ</t>
  </si>
  <si>
    <t>ΒΑΣΙΛΙΚΗ ΔΙΟΝΥΣΙΑ</t>
  </si>
  <si>
    <t>ΑΖ478466</t>
  </si>
  <si>
    <t>711,7</t>
  </si>
  <si>
    <t>981,7</t>
  </si>
  <si>
    <t>1005-1007-1009-1048-1050-1051-1052-1054-1055-1056-1059-1060-1064-1066</t>
  </si>
  <si>
    <t>ΜΠΛΑΝΤΖΟΥΚΑΣ</t>
  </si>
  <si>
    <t>ΑΗ968128</t>
  </si>
  <si>
    <t>981,3</t>
  </si>
  <si>
    <t>1053-1009-1068-1008-1060-1061-1007-1048-1049-1055-1051-1052-1056-1064-1059</t>
  </si>
  <si>
    <t>ΚΟΥΤΡΑ</t>
  </si>
  <si>
    <t>Ξ725585</t>
  </si>
  <si>
    <t>979,9</t>
  </si>
  <si>
    <t>1006-1055-1054-1064-1059-1005-1051-1052-1056-1060-1009-1066-1050-1062</t>
  </si>
  <si>
    <t>ΠΑΠΑΦΡΑΓΚΑ</t>
  </si>
  <si>
    <t>ΣΤΑΜΑΤΙΟΣ</t>
  </si>
  <si>
    <t>ΑΕ982676</t>
  </si>
  <si>
    <t>979,1</t>
  </si>
  <si>
    <t>1051-1052-1009-1059-1056-1066-1064</t>
  </si>
  <si>
    <t>ΧΑΤΖΗΜΙΧΑΛΑΚΗΣ</t>
  </si>
  <si>
    <t>Χ999288</t>
  </si>
  <si>
    <t>708,4</t>
  </si>
  <si>
    <t>978,4</t>
  </si>
  <si>
    <t>ΝΙΑΝΙΟΣ</t>
  </si>
  <si>
    <t>Φ476384</t>
  </si>
  <si>
    <t>647,9</t>
  </si>
  <si>
    <t>977,9</t>
  </si>
  <si>
    <t>1062-1055-1060-1056-1051-1052-1054-1009-1059-1064</t>
  </si>
  <si>
    <t>ΑΕ064732</t>
  </si>
  <si>
    <t>896,5</t>
  </si>
  <si>
    <t>976,5</t>
  </si>
  <si>
    <t>1055-1060-1009-1051-1052-1056-1059-1066-1064</t>
  </si>
  <si>
    <t>ΤΖΕΡΕΦΟΥ</t>
  </si>
  <si>
    <t>ΑΣΤΕΡΙΑ</t>
  </si>
  <si>
    <t>ΑΖ642762</t>
  </si>
  <si>
    <t>906,4</t>
  </si>
  <si>
    <t>976,4</t>
  </si>
  <si>
    <t>1054-1055-1056-1064-1059-1051-1052-1060-1050-1009</t>
  </si>
  <si>
    <t>ΖΗΝΟΒΙΑ</t>
  </si>
  <si>
    <t>ΑΗ963928</t>
  </si>
  <si>
    <t>976,2</t>
  </si>
  <si>
    <t>1009-1053-1008-1068-1119</t>
  </si>
  <si>
    <t>ΜΑΝΟΥΣΑΚΗΣ</t>
  </si>
  <si>
    <t>ΑΙ968864</t>
  </si>
  <si>
    <t>655,6</t>
  </si>
  <si>
    <t>975,6</t>
  </si>
  <si>
    <t>1008-1068-1009-1066-1064</t>
  </si>
  <si>
    <t>ΤΣΙΟΤΣΙΑ</t>
  </si>
  <si>
    <t>ΑΠΟΣΤΟΛΙΑ</t>
  </si>
  <si>
    <t>ΑΑ255795</t>
  </si>
  <si>
    <t>975,2</t>
  </si>
  <si>
    <t>1033-1034-1054-1055-1046-1032-1009-1028-1026-1042-1043-1038-1027-1064-1060-1052-1006-1035-1037-1044-1029-1056-1059-1025-1030-1031-1039-1045-1005-1066-1062-1041-1036</t>
  </si>
  <si>
    <t>ΚΑΡΑΚΑΣΗΣ</t>
  </si>
  <si>
    <t>ΑΒ105271</t>
  </si>
  <si>
    <t>975,1</t>
  </si>
  <si>
    <t>1005-1006-1007-1009-1050-1051-1052-1054-1055-1056-1059-1060-1062-1064-1066</t>
  </si>
  <si>
    <t>ΣΑΡΗΚΩΣΤΑΣ</t>
  </si>
  <si>
    <t>Φ325546</t>
  </si>
  <si>
    <t>974,3</t>
  </si>
  <si>
    <t>1054-1055-1056-1009-1005-1006-1059-1060-1064-1051-1052</t>
  </si>
  <si>
    <t>ΒΑΛΕΡΓΑΚΗ</t>
  </si>
  <si>
    <t>ΑΑ367006</t>
  </si>
  <si>
    <t>974,2</t>
  </si>
  <si>
    <t>ΖΑΠΑΝΤΗΣ</t>
  </si>
  <si>
    <t>Χ648445</t>
  </si>
  <si>
    <t>974,1</t>
  </si>
  <si>
    <t>ΣΟΥΚΙΑ</t>
  </si>
  <si>
    <t>ΑΜ818296</t>
  </si>
  <si>
    <t>973,9</t>
  </si>
  <si>
    <t>1061-1064-1055-1048-1059-1065-1049-1052-1051-1056-1060-1008-1009-1068-1007-1047-1067-1053</t>
  </si>
  <si>
    <t>ΠΑΦΛΙΑ</t>
  </si>
  <si>
    <t>ΝΑΠΟΛΕΩΝ</t>
  </si>
  <si>
    <t>ΑΒ431232</t>
  </si>
  <si>
    <t>973,1</t>
  </si>
  <si>
    <t>1006-1060-1051-1052-1005-1059-1064-1054-1055-1056-1009</t>
  </si>
  <si>
    <t>ΚΩΝΣΤΑΝΤΙΝΟΣ ΝΙΚΟΛΑΟ</t>
  </si>
  <si>
    <t>ΑΙ846619</t>
  </si>
  <si>
    <t>702,9</t>
  </si>
  <si>
    <t>972,9</t>
  </si>
  <si>
    <t>1054-1055-1056-1064-1009-1051-1052-1005-1060-1062</t>
  </si>
  <si>
    <t>ΚΑΒΒΑΔΑ</t>
  </si>
  <si>
    <t>Χ446405</t>
  </si>
  <si>
    <t>972,8</t>
  </si>
  <si>
    <t>1055-1063-1064-1060-1051-1052-1059-1056-1009-1068-1008-1048-1049-1053-1061-1058-1065-1066</t>
  </si>
  <si>
    <t>ΒΑΓΕΝΑ</t>
  </si>
  <si>
    <t>ΑΕ278925</t>
  </si>
  <si>
    <t>972,1</t>
  </si>
  <si>
    <t>1006-1008-1009-1049-1051-1052-1054-1055-1056-1057-1060-1064-1067-1068</t>
  </si>
  <si>
    <t>ΑΓΓΕΛΟΥ</t>
  </si>
  <si>
    <t>Χ986010</t>
  </si>
  <si>
    <t>701,8</t>
  </si>
  <si>
    <t>971,8</t>
  </si>
  <si>
    <t>1005-1009-1051-1052-1054-1055-1056-1057-1059-1060-1062-1064-1066</t>
  </si>
  <si>
    <t>ΒΟΥΒΑΛΗΣ</t>
  </si>
  <si>
    <t>ΑΕ114532</t>
  </si>
  <si>
    <t>1054-1055-1056-1059-1064-1052-1051-1005-1060-1066-1009-1050-1062</t>
  </si>
  <si>
    <t>ΚΑΛΗΣΠΕΡΑΚΗ</t>
  </si>
  <si>
    <t>ΛΥΔΙΑ ΑΝΤΩΝΙΑ</t>
  </si>
  <si>
    <t>Χ850091</t>
  </si>
  <si>
    <t>971,4</t>
  </si>
  <si>
    <t>ΚΑΛΑΠΟΘΑΚΟΥ</t>
  </si>
  <si>
    <t>ΑΑ106871</t>
  </si>
  <si>
    <t>ΑΛΕΞΟΠΟΥΛΟΣ</t>
  </si>
  <si>
    <t>Ρ720047</t>
  </si>
  <si>
    <t>970,7</t>
  </si>
  <si>
    <t>1054-1055-1064-1056-1005-1052-1051-1060-1059-1009-1050-1066-1062</t>
  </si>
  <si>
    <t>ΚΑΛΟΓΕΡΑΚΗ</t>
  </si>
  <si>
    <t>ΑΑ373099</t>
  </si>
  <si>
    <t>970,5</t>
  </si>
  <si>
    <t>ΤΣΙΤΣΕΟΥ</t>
  </si>
  <si>
    <t>ΣΕΜΠΑΣΤΙΑΝ</t>
  </si>
  <si>
    <t>ΑΛΕΞΑΝΔΡΟΥ ΜΑΡΙΝ</t>
  </si>
  <si>
    <t>ΑΝ482336</t>
  </si>
  <si>
    <t>ΣΙΓΑΛΟΥ</t>
  </si>
  <si>
    <t>Ρ383729</t>
  </si>
  <si>
    <t>969,8</t>
  </si>
  <si>
    <t>1006-1005-1007-1008-1009-1047-1048-1049-1050-1051-1052-1053-1054-1055-1056-1057-1058-1059-1060-1061-1062-1063-1064-1065-1066-1067-1068</t>
  </si>
  <si>
    <t>ΚΑΤΣΙΚΑ</t>
  </si>
  <si>
    <t>ΠΑΝΤΕΛΗΣ ΘΕΟΔΩΡΟΣ</t>
  </si>
  <si>
    <t>ΑΚ552806</t>
  </si>
  <si>
    <t>968,9</t>
  </si>
  <si>
    <t>ΠΑΠΑΔΑΚΗΣ</t>
  </si>
  <si>
    <t>Τ328494</t>
  </si>
  <si>
    <t>666,6</t>
  </si>
  <si>
    <t>966,6</t>
  </si>
  <si>
    <t>1009-1068-1053-1008-1060-1064-1055-1054-1056-1051-1052-1061-1005-1006-1047-1048-1049-1057-1007-1065-1066-1067-1062-1063-1058-1050-1059</t>
  </si>
  <si>
    <t>ΒΙΤΑΝΟΠΟΥΛΟΣ</t>
  </si>
  <si>
    <t>ΑΗ340097</t>
  </si>
  <si>
    <t>966,3</t>
  </si>
  <si>
    <t>1065-1056-1064-1054-1055-1059-1007-1067-1057-1005-1047-1048-1052-1051-1060-1009-1068-1053</t>
  </si>
  <si>
    <t>ΜΑΥΡΟΜΑΤΗΣ</t>
  </si>
  <si>
    <t>ΙΠΠΟΚΡΑΤΗΣ</t>
  </si>
  <si>
    <t>ΑΕ114881</t>
  </si>
  <si>
    <t>965,7</t>
  </si>
  <si>
    <t>1065-1054-1058-1055-1056-1061-1008-1068-1064-1007-1009-1053-1057-1059-1067-1047-1048-1049-1052-1051-1063-1060-1050-1066-1062</t>
  </si>
  <si>
    <t>ΜΟΜΦΕΡΑΤΟΥ</t>
  </si>
  <si>
    <t>ΑΜ953721</t>
  </si>
  <si>
    <t>964,5</t>
  </si>
  <si>
    <t>ΠΑΛΑΜΗΔΑ</t>
  </si>
  <si>
    <t>ΔΗΜΗΤΡΑ ΕΥΑΓΓΕΛΙΑ</t>
  </si>
  <si>
    <t>ΝΙΚΗΦΟΡΟΣ</t>
  </si>
  <si>
    <t>ΑΙ317948</t>
  </si>
  <si>
    <t>664,4</t>
  </si>
  <si>
    <t>964,4</t>
  </si>
  <si>
    <t>1052-1051-1056-1059-1055-1054-1064-1060-1005-1009-1066-1062-1050</t>
  </si>
  <si>
    <t>ΠΕΤΣΟΥ</t>
  </si>
  <si>
    <t>ΦΙΛΙΑ</t>
  </si>
  <si>
    <t>ΑΒ875715</t>
  </si>
  <si>
    <t>893,2</t>
  </si>
  <si>
    <t>963,2</t>
  </si>
  <si>
    <t>1009-1054-1055-1056-1059-1064-1051-1060</t>
  </si>
  <si>
    <t>ΚΑΡΑΧΑΛΙΟΥ</t>
  </si>
  <si>
    <t>ΑΖ478957</t>
  </si>
  <si>
    <t>962,2</t>
  </si>
  <si>
    <t>1051-1052-1009-1056-1054-1055-1060-1059-1062-1064-1066</t>
  </si>
  <si>
    <t>ΤΖΑΓΚΑΡΑΚΗ</t>
  </si>
  <si>
    <t>ΑΙ439751</t>
  </si>
  <si>
    <t>ΠΟΡΙΩΤΗΣ</t>
  </si>
  <si>
    <t>ΑΙ663114</t>
  </si>
  <si>
    <t>961,9</t>
  </si>
  <si>
    <t>1060-1052-1051-1005-1055-1054-1009-1056-1064-1059-1062-1066-1050</t>
  </si>
  <si>
    <t>ΡΟΥΜΠΑΚΗΣ</t>
  </si>
  <si>
    <t>ΑΗ960444</t>
  </si>
  <si>
    <t>961,6</t>
  </si>
  <si>
    <t>ΜΑΝΙΑΣ</t>
  </si>
  <si>
    <t>ΑΗ958031</t>
  </si>
  <si>
    <t>961,5</t>
  </si>
  <si>
    <t>ΑΝ523625</t>
  </si>
  <si>
    <t>960,8</t>
  </si>
  <si>
    <t>1051-1009-1052-1056-1064-1059-1062-1054-1005-1006</t>
  </si>
  <si>
    <t>ΣΓΑΓΙΑ</t>
  </si>
  <si>
    <t>ΑΜ484512</t>
  </si>
  <si>
    <t>960,7</t>
  </si>
  <si>
    <t>1051-1052-1054-1055-1066-1059-1060-1064-1009-1050-1062-1056</t>
  </si>
  <si>
    <t>ΑΤΣΑΛΑΚΗΣ</t>
  </si>
  <si>
    <t>ΑΒ964087</t>
  </si>
  <si>
    <t>1009-1053-1008-1068-1054-1005-1055-1061-1051-1052-1067-1060-1065-1047-1049-1007-1057-1058-1063-1064-1056-1048-1059-1050-1066</t>
  </si>
  <si>
    <t>888,8</t>
  </si>
  <si>
    <t>958,8</t>
  </si>
  <si>
    <t>1055-1054-1052-1060-1051-1064-1056-1009-1059</t>
  </si>
  <si>
    <t>ΗΡΑΚΛΗΣ</t>
  </si>
  <si>
    <t>ΑΗ460896</t>
  </si>
  <si>
    <t>958,4</t>
  </si>
  <si>
    <t>1009-1053-1008-1068-1055-1054-1060-1005-1007-1048-1049-1051-1052-1047-1061-1067-1064-1059-1056</t>
  </si>
  <si>
    <t>ΠΑΠΑΙΩΑΝΝΟΥ</t>
  </si>
  <si>
    <t>ΑΒ129998</t>
  </si>
  <si>
    <t>957,8</t>
  </si>
  <si>
    <t>1056-1054-1055-1059-1064-1061-1007-1008-1009-1049-1051-1052-1060-1005</t>
  </si>
  <si>
    <t>ΤΣΑΝΟΥΣΑ</t>
  </si>
  <si>
    <t>ΑΗ765320</t>
  </si>
  <si>
    <t>957,6</t>
  </si>
  <si>
    <t>1054-1055-1064-1056-1059-1052-1051-1009-1060-1005</t>
  </si>
  <si>
    <t>ΚΕΧΑΪΔΗΣ</t>
  </si>
  <si>
    <t>ΑΜ418778</t>
  </si>
  <si>
    <t>957,1</t>
  </si>
  <si>
    <t>ΜΑΘΙΟΥΔΑΚΗ</t>
  </si>
  <si>
    <t>ΑΝ2123045</t>
  </si>
  <si>
    <t>1009-1008-1006-1005</t>
  </si>
  <si>
    <t>ΜΑΡΙΝΑΚΗ</t>
  </si>
  <si>
    <t>ΑΕ969836</t>
  </si>
  <si>
    <t>956,4</t>
  </si>
  <si>
    <t>ΑΕ231732</t>
  </si>
  <si>
    <t>ΖΥΓΟΥΛΗ</t>
  </si>
  <si>
    <t>ΑΚ480354</t>
  </si>
  <si>
    <t>1068-1008-1055-1054-1056-1006-1061-1009-1053-1064-1007-1067-1057-1051-1052-1060-1059-1047-1005-1048-1049</t>
  </si>
  <si>
    <t>ΑΡΓΥΡΩ</t>
  </si>
  <si>
    <t>Φ347893</t>
  </si>
  <si>
    <t>955,8</t>
  </si>
  <si>
    <t>1009-1060-1054-1055-1051-1052-1005-1006-1059-1064-1056-1062-1066</t>
  </si>
  <si>
    <t>ΡΙΖΟΠΟΥΛΟΥ</t>
  </si>
  <si>
    <t>ΑΑ979109</t>
  </si>
  <si>
    <t>685,3</t>
  </si>
  <si>
    <t>955,3</t>
  </si>
  <si>
    <t>1052-1051-1060-1055-1056-1064-1054-1009</t>
  </si>
  <si>
    <t>ΜΗΤΡΟΥΛΗΣ</t>
  </si>
  <si>
    <t>ΑΑ232541</t>
  </si>
  <si>
    <t>955,2</t>
  </si>
  <si>
    <t>1008-1009-1048-1049-1051-1052-1053-1055-1056-1059-1060-1061-1063-1064-1068</t>
  </si>
  <si>
    <t>ΓΕΛΑΔΑΡΗ</t>
  </si>
  <si>
    <t>ΤΡΙΑΝΤΑΦΥΛΛΙΑ</t>
  </si>
  <si>
    <t>ΑΖ316122</t>
  </si>
  <si>
    <t>953,8</t>
  </si>
  <si>
    <t>1064-1061-1006-1054-1055-1056-1063-1059-1057-1005-1007-1047-1048-1051-1052-1008-1009-1053-1068</t>
  </si>
  <si>
    <t>ΚΑΣΤΡΙΤΣΗ</t>
  </si>
  <si>
    <t>ΑΒ078599</t>
  </si>
  <si>
    <t>853,6</t>
  </si>
  <si>
    <t>953,6</t>
  </si>
  <si>
    <t>1009-1062-1066-1054-1055-1056-1059-1064-1050-1006-1051-1052-1005-1060</t>
  </si>
  <si>
    <t>ΚΑΚΑΓΙΑΣ</t>
  </si>
  <si>
    <t>Χ876590</t>
  </si>
  <si>
    <t>953,2</t>
  </si>
  <si>
    <t>1055-1052-1056-1051-1059-1060-1066-1009-1064</t>
  </si>
  <si>
    <t>ΜΑΡΙΝΑΚΗΣ</t>
  </si>
  <si>
    <t>Χ917054</t>
  </si>
  <si>
    <t>953,1</t>
  </si>
  <si>
    <t>ΔΗΜΗΤΡΙΑΔΟΥ</t>
  </si>
  <si>
    <t>Τ377369</t>
  </si>
  <si>
    <t>952,7</t>
  </si>
  <si>
    <t>ΚΟΒΟΥΣΙΑΔΟΥ</t>
  </si>
  <si>
    <t>ΑΚ445949</t>
  </si>
  <si>
    <t>652,3</t>
  </si>
  <si>
    <t>952,3</t>
  </si>
  <si>
    <t>1056-1065-1054-1055-1050-1064-1063-1067-1007-1058-1061-1048-1052-1051-1066-1060-1068-1057-1047-1062-1053-1009-1049-1059-1008</t>
  </si>
  <si>
    <t>ΠΑΝΑ</t>
  </si>
  <si>
    <t>Χ638634</t>
  </si>
  <si>
    <t>952,2</t>
  </si>
  <si>
    <t>ΝΙΚΟΛΟΠΟΥΛΟΥ</t>
  </si>
  <si>
    <t>ΑΜ278353</t>
  </si>
  <si>
    <t>951,8</t>
  </si>
  <si>
    <t>1005-1006-1009-1051-1052-1060-1055-1056-1059</t>
  </si>
  <si>
    <t>ΧΑΛΙΜΟΥΡΔΑ</t>
  </si>
  <si>
    <t>ΧΡΗΣΤΙΝΑ</t>
  </si>
  <si>
    <t>ΑΒ937320</t>
  </si>
  <si>
    <t>950,5</t>
  </si>
  <si>
    <t>1009-1064-1066-1055-1056-1060-1050-1051-1052</t>
  </si>
  <si>
    <t>ΧΡΟΝΑΚΗΣ</t>
  </si>
  <si>
    <t>ΑΝ457680</t>
  </si>
  <si>
    <t>850,3</t>
  </si>
  <si>
    <t>950,3</t>
  </si>
  <si>
    <t>ΜΠΑΡΑΔΑΚΗΣ</t>
  </si>
  <si>
    <t>Χ358410</t>
  </si>
  <si>
    <t>949,6</t>
  </si>
  <si>
    <t>ΧΑΝΔΟΛΙΑ</t>
  </si>
  <si>
    <t>ΑΖ813572</t>
  </si>
  <si>
    <t>948,8</t>
  </si>
  <si>
    <t>1064-1054-1055-1059-1056-1063-1005-1051-1052-1009-1060-1057-1058-1062-1066</t>
  </si>
  <si>
    <t>ΤΣΙΤΣΙΒΑΣ</t>
  </si>
  <si>
    <t>ΑΒ102729</t>
  </si>
  <si>
    <t>946,6</t>
  </si>
  <si>
    <t>1061-1006-1055-1054-1007-1064-1063-1056-1065-1058-1059-1047-1060-1048-1066-1051-1052-1053-1009-1068</t>
  </si>
  <si>
    <t>ΖΙΑΚΑ</t>
  </si>
  <si>
    <t>Χ482958</t>
  </si>
  <si>
    <t>946,3</t>
  </si>
  <si>
    <t>1051-1052-1054-1055-1009-1060-1064-1059-1056-1062-1066-1050</t>
  </si>
  <si>
    <t>ΛΑΠΙΔΑΚΗΣ</t>
  </si>
  <si>
    <t>Χ849470</t>
  </si>
  <si>
    <t>945,4</t>
  </si>
  <si>
    <t>ΠΟΥΛΚΟΣ</t>
  </si>
  <si>
    <t>ΑΗ802980</t>
  </si>
  <si>
    <t>1055-1054-1059-1056-1064-1009-1006-1052-1060-1051-1005</t>
  </si>
  <si>
    <t>ΚΑΡΑΒΙΑΣ</t>
  </si>
  <si>
    <t>ΑΗ218883</t>
  </si>
  <si>
    <t>815,1</t>
  </si>
  <si>
    <t>945,1</t>
  </si>
  <si>
    <t>1027-1029-1045-1041-1025-1028-1026-1032-1009-1033-1034-1037-1035-1042-1043-1030-1031-1036</t>
  </si>
  <si>
    <t>ΕΛΙΣΣΑΒΕΤ</t>
  </si>
  <si>
    <t>ΑΗ290052</t>
  </si>
  <si>
    <t>1059-1051-1052-1056-1009</t>
  </si>
  <si>
    <t>ΠΑΣΧΟΥ</t>
  </si>
  <si>
    <t>ΣΤΥΛΙΑΝΗ</t>
  </si>
  <si>
    <t>Χ892149</t>
  </si>
  <si>
    <t>1059-1055-1064-1061-1056-1048-1049-1051-1052-1060-1068-1008-1053-1009</t>
  </si>
  <si>
    <t>ΡΑΠΤΗΣ</t>
  </si>
  <si>
    <t>Σ917088</t>
  </si>
  <si>
    <t>944,3</t>
  </si>
  <si>
    <t>1054-1055-1064-1056-1059-1051-1052-1060-1009</t>
  </si>
  <si>
    <t>ΡΟΥΣΗΣ</t>
  </si>
  <si>
    <t>ΑΑ307431</t>
  </si>
  <si>
    <t>1049-1047-1048-1050-1051-1052-1053-1054-1055-1056-1057-1058-1059-1060-1061-1062-1063-1064-1065-1066-1067-1068-1007-1008-1009</t>
  </si>
  <si>
    <t>ΚΑΡΤΣΟΠΟΥΛΟΥ</t>
  </si>
  <si>
    <t>ΜΑΡΚΕΤΟΥΣΗ</t>
  </si>
  <si>
    <t>ΑΗ139251</t>
  </si>
  <si>
    <t>694,1</t>
  </si>
  <si>
    <t>944,1</t>
  </si>
  <si>
    <t>1051-1052-1054-1055-1056-1059-1060-1064-1009</t>
  </si>
  <si>
    <t>ΚΟΘΩΝΑ</t>
  </si>
  <si>
    <t>ΑΕ321776</t>
  </si>
  <si>
    <t>ΚΑΚΟΥ</t>
  </si>
  <si>
    <t>ΑΗ924941</t>
  </si>
  <si>
    <t>943,9</t>
  </si>
  <si>
    <t>1050-1056-1064-1051-1052-1054-1055-1009-1062-1059-1060-1067</t>
  </si>
  <si>
    <t>ΒΟΥΡΔΟΥΛΑΣ</t>
  </si>
  <si>
    <t>ΑΙ956437</t>
  </si>
  <si>
    <t>943,8</t>
  </si>
  <si>
    <t>ΜΙΧΑΛΑΚΗΣ</t>
  </si>
  <si>
    <t>ΑΚ649442</t>
  </si>
  <si>
    <t>633,6</t>
  </si>
  <si>
    <t>943,6</t>
  </si>
  <si>
    <t>1051-1052-1054-1055-1060-1056-1064-1059-1005-1066-1009-1062-1050-1007-1067-1047-1048-1057-1049-1061-1008-1058-1063-1065-1068</t>
  </si>
  <si>
    <t>ΚΩΤΣΟΠΟΥΛΟΥ</t>
  </si>
  <si>
    <t>ΑΚ962988</t>
  </si>
  <si>
    <t>943,2</t>
  </si>
  <si>
    <t>ΜΠΕΝΕΚΟΥ</t>
  </si>
  <si>
    <t>ΑΒ992919</t>
  </si>
  <si>
    <t>1051-1052-1009-1060</t>
  </si>
  <si>
    <t>ΜΠΙΤΣΙΚΩΚΟΥ</t>
  </si>
  <si>
    <t>ΘΕΟΦΑΝΗΣ</t>
  </si>
  <si>
    <t>Τ239669</t>
  </si>
  <si>
    <t>942,1</t>
  </si>
  <si>
    <t>1009-1051-1052-1056-1059-1060-1064</t>
  </si>
  <si>
    <t>ΚΑΚΟΥΛΙΔΟΥ</t>
  </si>
  <si>
    <t>ΑΖ788165</t>
  </si>
  <si>
    <t>1059-1055-1054-1052-1051-1056-1064-1060-1009</t>
  </si>
  <si>
    <t>ΤΖΗΜΑ</t>
  </si>
  <si>
    <t>ΔΗΜΗΤΡΑ-ΑΓΟΡΩ</t>
  </si>
  <si>
    <t>ΑΝ373072</t>
  </si>
  <si>
    <t>940,8</t>
  </si>
  <si>
    <t>1006-1009-1051-1052-1056-1059-1064</t>
  </si>
  <si>
    <t>ΤΣΑΧΟΥΡΙΔΟΥ</t>
  </si>
  <si>
    <t>ΑΧΙΛΛΕΥΣ</t>
  </si>
  <si>
    <t>ΑΑ225583</t>
  </si>
  <si>
    <t>940,4</t>
  </si>
  <si>
    <t>1055-1054-1064-1056-1052-1051-1005-1059-1009-1066-1062-1050</t>
  </si>
  <si>
    <t>ΠΑΠΑΒΡΑΜΙΔΟΥ</t>
  </si>
  <si>
    <t>ΑΒ707076</t>
  </si>
  <si>
    <t>1055-1054-1064-1066-1068-1008-1009-1053-1052-1051-1056-1062-1048-1061-1063-1060-1059-1007-1067-1065-1005-1049-1047-1057-1050</t>
  </si>
  <si>
    <t>ΓΡΥΜΠΟΓΙΑΝΝΗ</t>
  </si>
  <si>
    <t>ΑΗ784347</t>
  </si>
  <si>
    <t>939,9</t>
  </si>
  <si>
    <t>1054-1055-1056-1059-1064-1005-1051-1052-1050-1066-1009-1060-1062</t>
  </si>
  <si>
    <t>ΚΟΝΤΟΓΙΑΝΝΗΣ</t>
  </si>
  <si>
    <t>ΑΕ464061</t>
  </si>
  <si>
    <t>938,4</t>
  </si>
  <si>
    <t>1009-1053-1008-1068-1055-1054-1064-1052-1051-1060-1056-1059-1066-1062-1050-1005-1006-1047-1049-1065-1063-1067-1061-1058-1057-1048-1007</t>
  </si>
  <si>
    <t>ΝΤΑΛΚΑΡΑΝΙΔΟΥ</t>
  </si>
  <si>
    <t>ΔΗΜΟΣΘΕΝΗΣ</t>
  </si>
  <si>
    <t>Χ466613</t>
  </si>
  <si>
    <t>938,2</t>
  </si>
  <si>
    <t>1065-1056-1050-1054-1055-1064-1063-1058-1006-1061-1067-1007-1057-1048-1005-1047-1051-1052-1059-1060-1049-1068-1008-1009-1053-1066-1062</t>
  </si>
  <si>
    <t>ΚΕΧΑΓΙΑΣ</t>
  </si>
  <si>
    <t>Χ926416</t>
  </si>
  <si>
    <t>937,7</t>
  </si>
  <si>
    <t>ΑΕ113197</t>
  </si>
  <si>
    <t>907,5</t>
  </si>
  <si>
    <t>937,5</t>
  </si>
  <si>
    <t>1055-1056-1064-1059-1051-1052-1060-1009-1066</t>
  </si>
  <si>
    <t>ΚΛΕΙΔΑΡΑΣ</t>
  </si>
  <si>
    <t>ΑΒ352927</t>
  </si>
  <si>
    <t>937,3</t>
  </si>
  <si>
    <t>1055-1054-1064-1056-1059-1052-1051-1062-1009-1066-1060-1006-1005-1050</t>
  </si>
  <si>
    <t>ΑΘΑΝΑΣΙΟΥ</t>
  </si>
  <si>
    <t>ΑΕ329040</t>
  </si>
  <si>
    <t>935,6</t>
  </si>
  <si>
    <t>1064-1052-1051-1055-1056-1009-1066-1060-1059</t>
  </si>
  <si>
    <t>ΚΑΡΑΜΠΕΛΑ</t>
  </si>
  <si>
    <t>ΑΗ039090</t>
  </si>
  <si>
    <t>935,3</t>
  </si>
  <si>
    <t>1009-1053-1068-1008</t>
  </si>
  <si>
    <t>ΠΛΗΓΙΑΡΗ</t>
  </si>
  <si>
    <t>Χ413626</t>
  </si>
  <si>
    <t>934,2</t>
  </si>
  <si>
    <t>1064-1055-1059-1056-1051-1052-1060-1009</t>
  </si>
  <si>
    <t>ΚΩΝΣΤΑΝΤΕΛΟΥ</t>
  </si>
  <si>
    <t>Φ299521</t>
  </si>
  <si>
    <t>933,7</t>
  </si>
  <si>
    <t>ΠΑΝΤΙΝΑΚΗ</t>
  </si>
  <si>
    <t>ΧΡΙΣΤΙΝΑ ΔΕΣΠΟΙΝΑ</t>
  </si>
  <si>
    <t>ΑΕ457622</t>
  </si>
  <si>
    <t>ΣΚΛΑΒΟΣ</t>
  </si>
  <si>
    <t>Χ982659</t>
  </si>
  <si>
    <t>931,3</t>
  </si>
  <si>
    <t>1059-1064-1009-1060-1056-1051-1054-1055-1005</t>
  </si>
  <si>
    <t>ΑΗ959269</t>
  </si>
  <si>
    <t>ΜΑΡΑΖΙΩΤΗ</t>
  </si>
  <si>
    <t>ΑΔΑΜΑΝΤΙΑ</t>
  </si>
  <si>
    <t>ΑΝ251505</t>
  </si>
  <si>
    <t>930,5</t>
  </si>
  <si>
    <t>1009-1054-1055-1056-1060-1059-1051-1064-1066-1069</t>
  </si>
  <si>
    <t>ΜΟΛΛΑΣ</t>
  </si>
  <si>
    <t>ΑΒ558850</t>
  </si>
  <si>
    <t>1009-1064-1066-1050-1051-1052-1054-1055-1056-1059-1060-1062</t>
  </si>
  <si>
    <t>ΡΑΥΤΟΠΟΥΛΟΣ</t>
  </si>
  <si>
    <t>ΑΕ982275</t>
  </si>
  <si>
    <t>1052-1051-1060-1064-1054-1055-1056-1059-1009</t>
  </si>
  <si>
    <t>ΡΙΓΓΑ</t>
  </si>
  <si>
    <t xml:space="preserve">ΑΙΚΑΤΕΡΙΝΗ </t>
  </si>
  <si>
    <t>ΑΜ665065</t>
  </si>
  <si>
    <t>929,8</t>
  </si>
  <si>
    <t>ΚΟΜΝΗΝΟΥ</t>
  </si>
  <si>
    <t>ΑΒ696441</t>
  </si>
  <si>
    <t>929,6</t>
  </si>
  <si>
    <t>1055-1064-1056-1009-1059-1052-1051</t>
  </si>
  <si>
    <t>ΔΑΣΚΑΛΟΠΟΥΛΟΥ</t>
  </si>
  <si>
    <t>ΑΖ364740</t>
  </si>
  <si>
    <t>1009-1052-1051-1055-1060-1056-1059-1064-1066</t>
  </si>
  <si>
    <t>ΤΑΜΠΑΚΗΣ</t>
  </si>
  <si>
    <t>ΑΗ826075</t>
  </si>
  <si>
    <t>926,9</t>
  </si>
  <si>
    <t>1023-1022-1009-1008-1006-1005</t>
  </si>
  <si>
    <t>ΣΤΡΑΤΗΓΟΠΟΥΛΟΥ</t>
  </si>
  <si>
    <t>ΑΝ409268</t>
  </si>
  <si>
    <t>656,7</t>
  </si>
  <si>
    <t>926,7</t>
  </si>
  <si>
    <t>1056-1065-1054-1055-1052-1051-1007-1006-1057-1059-1067-1061-1063-1064-1048-1049-1047-1058-1005-1060-1068-1053-1009-1008-1066-1050-1062</t>
  </si>
  <si>
    <t>ΤΣΑΝΤΕΚΙΔΗΣ</t>
  </si>
  <si>
    <t>Φ191381</t>
  </si>
  <si>
    <t>925,8</t>
  </si>
  <si>
    <t>1054-1055-1056-1059-1066-1064-1051-1052-1009-1050-1060-1062</t>
  </si>
  <si>
    <t>ΚΑΡΑΔΟΞΑΚΗ</t>
  </si>
  <si>
    <t>Χ871841</t>
  </si>
  <si>
    <t>1056-1054-1055-1009-1051-1052-1050-1060-1062-1066-1064-1059-1005</t>
  </si>
  <si>
    <t>ΠΟΡΤΑΡΙΤΗΣ</t>
  </si>
  <si>
    <t>ΑΖ778288</t>
  </si>
  <si>
    <t>924,7</t>
  </si>
  <si>
    <t>1005-1009-1051-1052-1054-1055-1056-1059-1060-1064-1006</t>
  </si>
  <si>
    <t>ΦΥΣΑΡΑΚΗ</t>
  </si>
  <si>
    <t>ΑΒ962870</t>
  </si>
  <si>
    <t>923,2</t>
  </si>
  <si>
    <t>ΖΟΥΜΠΟΥ</t>
  </si>
  <si>
    <t>ΙΣΜΗΝΗ ΕΜΜΑΝΟΥΕΛΑ</t>
  </si>
  <si>
    <t>ΑΕ136234</t>
  </si>
  <si>
    <t>922,6</t>
  </si>
  <si>
    <t>1008-1009-1006</t>
  </si>
  <si>
    <t>ΤΡΙΑΝΤΑΦΥΛΛΟΣ</t>
  </si>
  <si>
    <t>ΑΖ804259</t>
  </si>
  <si>
    <t>922,3</t>
  </si>
  <si>
    <t>1063-1054-1055-1064-1056-1061-1067-1057-1059-1007-1005-1047-1060-1008-1009-1068-1053-1048-1051-1052-1049</t>
  </si>
  <si>
    <t>ΧΡΗΣΤΟΒΙΤΣΗ</t>
  </si>
  <si>
    <t>Χ987095</t>
  </si>
  <si>
    <t>921,7</t>
  </si>
  <si>
    <t>1009-1050-1051-1052-1054-1055-1056-1059-1060-1062-1064-1066-1005</t>
  </si>
  <si>
    <t>ΜΕΤΤΑ</t>
  </si>
  <si>
    <t>Ρ279524</t>
  </si>
  <si>
    <t>920,1</t>
  </si>
  <si>
    <t>1054-1056-1059-1060-1062-1064-1066-1009-1050-1051-1052</t>
  </si>
  <si>
    <t>ΠΑΝΟΠΟΥΛΟΥ</t>
  </si>
  <si>
    <t>ΑΜ453714</t>
  </si>
  <si>
    <t>919,2</t>
  </si>
  <si>
    <t>ΛΙΑΠΗ</t>
  </si>
  <si>
    <t>ΑΕ495627</t>
  </si>
  <si>
    <t>918,8</t>
  </si>
  <si>
    <t>1052-1051-1060-1064-1055-1059-1056-1009-1066</t>
  </si>
  <si>
    <t>ΣΠΑΝΟΣ</t>
  </si>
  <si>
    <t>ΜΙΧΑΛΗΣ</t>
  </si>
  <si>
    <t>ΑΒ933893</t>
  </si>
  <si>
    <t>918,7</t>
  </si>
  <si>
    <t>1006-1009-1049-1051-1052-1055-1056-1059-1060-1064-1066</t>
  </si>
  <si>
    <t>ΦΙΛΙΟΣ</t>
  </si>
  <si>
    <t>ΑΜ095617</t>
  </si>
  <si>
    <t>688,6</t>
  </si>
  <si>
    <t>918,6</t>
  </si>
  <si>
    <t>1009-1051-1052-1056-1059-1064</t>
  </si>
  <si>
    <t>ΒΑΙΤΣΗΣ</t>
  </si>
  <si>
    <t>ΑΕ310023</t>
  </si>
  <si>
    <t>917,9</t>
  </si>
  <si>
    <t>1007-1050-1009-1051-1052-1054-1056-1059-1060-1062-1064-1066-1005</t>
  </si>
  <si>
    <t>ΝΤΙΚΟΥ</t>
  </si>
  <si>
    <t>ΒΑΡΒΑΡΑ</t>
  </si>
  <si>
    <t>ΑΕ550088</t>
  </si>
  <si>
    <t>916,9</t>
  </si>
  <si>
    <t>Χ878790</t>
  </si>
  <si>
    <t>646,8</t>
  </si>
  <si>
    <t>916,8</t>
  </si>
  <si>
    <t>1055-1054-1059-1065-1056-1008-1009-1068-1066-1064-1061-1058-1007-1057-1060-1053-1063-1067-1052-1051-1049-1048-1047-1050-1062</t>
  </si>
  <si>
    <t>ΜΠΑΛΑΣΟΠΟΥΛΟΥ</t>
  </si>
  <si>
    <t>Χ799206</t>
  </si>
  <si>
    <t>916,2</t>
  </si>
  <si>
    <t>ΑΛΕΒΥΖΑΚΗ</t>
  </si>
  <si>
    <t>ΑΒ958032</t>
  </si>
  <si>
    <t>915,9</t>
  </si>
  <si>
    <t>ΜΠΑΡΜΠΑΣ</t>
  </si>
  <si>
    <t>Χ726204</t>
  </si>
  <si>
    <t>915,6</t>
  </si>
  <si>
    <t>1054-1056-1064-1006-1059-1009-1005-1051-1052-1060-1055</t>
  </si>
  <si>
    <t>ΒΑΣΙΛΕΙΑΔΟΥ</t>
  </si>
  <si>
    <t>ΑΑ373735</t>
  </si>
  <si>
    <t>915,5</t>
  </si>
  <si>
    <t>ΤΣΑΜΠΟΥΡΗΣ</t>
  </si>
  <si>
    <t>ΧΑΡΙΣΙΟΣ</t>
  </si>
  <si>
    <t>ΑΗ289346</t>
  </si>
  <si>
    <t>644,6</t>
  </si>
  <si>
    <t>914,6</t>
  </si>
  <si>
    <t>1059-1066-1056-1055-1009-1051-1052-1064-1060</t>
  </si>
  <si>
    <t>ΜΑΜΟΥΔΗ</t>
  </si>
  <si>
    <t>ΕΙΡΉΝΗ</t>
  </si>
  <si>
    <t>ΑΒ037831</t>
  </si>
  <si>
    <t>912,2</t>
  </si>
  <si>
    <t>ΣΕΦΕΡΗ</t>
  </si>
  <si>
    <t>ΑΕ320895</t>
  </si>
  <si>
    <t>1006-1007-1067-1061-1057-1054-1055-1065-1005-1047-1048-1049-1050-1051-1052-1058-1059-1060-1064-1063-1062-1008-1009-1053-1056-1066-1068</t>
  </si>
  <si>
    <t>ΕΥΣΤΑΘΙΟΥ</t>
  </si>
  <si>
    <t>ΕΥΡΥΔΙΚΗ</t>
  </si>
  <si>
    <t>ΑΙ295077</t>
  </si>
  <si>
    <t>911,7</t>
  </si>
  <si>
    <t>1007-1067-1057-1061-1048-1059-1064-1060-1054-1055-1005-1047-1049-1052-1051-1056-1063-1066-1065-1009-1053-1008-1068-1050-1062</t>
  </si>
  <si>
    <t>ΤΡΟΜΠΟΥΚΗ</t>
  </si>
  <si>
    <t>ΑΙ774093</t>
  </si>
  <si>
    <t>910,6</t>
  </si>
  <si>
    <t>1049-1060-1055-1052-1051-1056-1059-1064-1009-1066</t>
  </si>
  <si>
    <t>ΣΤΕΡΓΙΟΥ</t>
  </si>
  <si>
    <t>ΠΕΡΙΚΛΗΣ</t>
  </si>
  <si>
    <t>ΑΖ721129</t>
  </si>
  <si>
    <t>640,2</t>
  </si>
  <si>
    <t>910,2</t>
  </si>
  <si>
    <t>1007-1008-1009-1047-1048-1049-1051-1052-1053-1054-1055-1056-1057-1059-1060-1061-1064-1067-1068</t>
  </si>
  <si>
    <t>ΒΑΛΩΜΕΝΟΣ</t>
  </si>
  <si>
    <t>ΑΕ327464</t>
  </si>
  <si>
    <t>1051-1052-1059-1064-1060-1066-1009</t>
  </si>
  <si>
    <t>ΡΟΥΣΣΟΣ</t>
  </si>
  <si>
    <t>ΑΒ436419</t>
  </si>
  <si>
    <t>909,3</t>
  </si>
  <si>
    <t>ΠΑΖΙΟΣ</t>
  </si>
  <si>
    <t>Χ933587</t>
  </si>
  <si>
    <t>908,7</t>
  </si>
  <si>
    <t xml:space="preserve">ΜΑΤΖΙΑΡΙΔΟΥ </t>
  </si>
  <si>
    <t xml:space="preserve">ΣΤΕΛΛΑ </t>
  </si>
  <si>
    <t xml:space="preserve">ΠΑΡΑΣΧΟΣ </t>
  </si>
  <si>
    <t>ΑΖ823521</t>
  </si>
  <si>
    <t>908,5</t>
  </si>
  <si>
    <t>1053-1009-1051-1052-1064-1059-1006</t>
  </si>
  <si>
    <t>ΤΖΙΑΜΑΛΗΣ</t>
  </si>
  <si>
    <t>ΑΗ270103</t>
  </si>
  <si>
    <t>907,8</t>
  </si>
  <si>
    <t>1064-1055-1051-1052-1056-1060-1066-1059-1009</t>
  </si>
  <si>
    <t>ΑΒΑΚΙΑΝ</t>
  </si>
  <si>
    <t>ΚΑΡΑΜΠΕΤ</t>
  </si>
  <si>
    <t>ΑΡΣΕΝ</t>
  </si>
  <si>
    <t>ΑΙ535289</t>
  </si>
  <si>
    <t>ΣΑΛΤΟΓΙΑΝΝΗΣ</t>
  </si>
  <si>
    <t>Χ778537</t>
  </si>
  <si>
    <t>906,2</t>
  </si>
  <si>
    <t>ΠΑΠΑΤΡΙΑΝΤΑΦΥΛΛΟΥ</t>
  </si>
  <si>
    <t>ΑΑ307164</t>
  </si>
  <si>
    <t>635,8</t>
  </si>
  <si>
    <t>905,8</t>
  </si>
  <si>
    <t>1060-1055-1054-1052-1051-1059-1056-1009-1064-1066-1005</t>
  </si>
  <si>
    <t>ΚΑΡΑΜΠΙΚΑ</t>
  </si>
  <si>
    <t>ΑΖ244253</t>
  </si>
  <si>
    <t>905,2</t>
  </si>
  <si>
    <t>1049-1053-1009-1068-1059-1052-1007-1006-1051-1067-1055-1054-1056-1064-1005-1047-1008-1057-1060-1061-1048</t>
  </si>
  <si>
    <t>ΚΑΝΑΤΟΥΛΑ</t>
  </si>
  <si>
    <t>ΑΗ870182</t>
  </si>
  <si>
    <t>ΚΑΤΣΙΦΟΥ</t>
  </si>
  <si>
    <t>ΑΕ722960</t>
  </si>
  <si>
    <t>904,7</t>
  </si>
  <si>
    <t>1052-1051-1064-1056-1009</t>
  </si>
  <si>
    <t>ΡΟΥΣΣΑΚΗΣ</t>
  </si>
  <si>
    <t>ΑΖ959494</t>
  </si>
  <si>
    <t>634,7</t>
  </si>
  <si>
    <t>ΛΕΤΣΙΟΥ</t>
  </si>
  <si>
    <t>ΑΒ111493</t>
  </si>
  <si>
    <t>903,8</t>
  </si>
  <si>
    <t>ΚΟΛΙΟΥΜΠΑ</t>
  </si>
  <si>
    <t>Ρ891091</t>
  </si>
  <si>
    <t>902,6</t>
  </si>
  <si>
    <t>ΒΡΟΝΤΗ</t>
  </si>
  <si>
    <t>ΑΜ952441</t>
  </si>
  <si>
    <t>902,3</t>
  </si>
  <si>
    <t>ΜΑΡΙΝΗ</t>
  </si>
  <si>
    <t>ΑΒ587879</t>
  </si>
  <si>
    <t>900,7</t>
  </si>
  <si>
    <t>1060-1051-1052-1047-1048-1049-1007-1067-1057-1061-1064-1059-1056-1055-1054-1053-1068-1009-1008-1005-1066-1063-1058-1065-1062-1050</t>
  </si>
  <si>
    <t>ΜΟΡΦΙΔΗΣ</t>
  </si>
  <si>
    <t>ΙΑΚΩΒΟΣ</t>
  </si>
  <si>
    <t>ΑΖ324352</t>
  </si>
  <si>
    <t>870,1</t>
  </si>
  <si>
    <t>900,1</t>
  </si>
  <si>
    <t>1059-1064-1055-1056-1052-1051-1060-1066-1009</t>
  </si>
  <si>
    <t>ΚΑΡΥΔΗ</t>
  </si>
  <si>
    <t>Χ286052</t>
  </si>
  <si>
    <t>1060-1051-1005-1006-1066-1064-1054-1055-1056-1059-1062-1052-1050-1009</t>
  </si>
  <si>
    <t>ΚΡΙΚΕΛΗ</t>
  </si>
  <si>
    <t>Χ431943</t>
  </si>
  <si>
    <t>1006-1005-1008-1009</t>
  </si>
  <si>
    <t>ΜΙΧΑΗΛΟΓΛΟΥ</t>
  </si>
  <si>
    <t>ΚΥΡΙΑΖΗΣ</t>
  </si>
  <si>
    <t>ΑΚ297563</t>
  </si>
  <si>
    <t>668,8</t>
  </si>
  <si>
    <t>898,8</t>
  </si>
  <si>
    <t>ΜΟΥΡΟΥΖΙΔΟΥ</t>
  </si>
  <si>
    <t>ΜΕΛΙΝΑ</t>
  </si>
  <si>
    <t>ΑΖ788445</t>
  </si>
  <si>
    <t>898,6</t>
  </si>
  <si>
    <t>ΣΚΟΥΜΠΕΡΔΗΣ</t>
  </si>
  <si>
    <t>Τ827793</t>
  </si>
  <si>
    <t>698,5</t>
  </si>
  <si>
    <t>898,5</t>
  </si>
  <si>
    <t>1054-1055-1064-1056-1059-1067-1051-1052-1060-1009</t>
  </si>
  <si>
    <t>ΣΑΚΑΛΙΔΗΣ</t>
  </si>
  <si>
    <t>ΑΕ201462</t>
  </si>
  <si>
    <t>897,3</t>
  </si>
  <si>
    <t>1054-1009-1056-1050-1059-1064</t>
  </si>
  <si>
    <t>ΙΟΡΔΑΝΗΣ</t>
  </si>
  <si>
    <t>Χ315841</t>
  </si>
  <si>
    <t>897,1</t>
  </si>
  <si>
    <t>1056-1054-1055-1064-1059-1052-1051-1060-1009</t>
  </si>
  <si>
    <t>ΓΙΟΥΜΗ</t>
  </si>
  <si>
    <t>Χ415115</t>
  </si>
  <si>
    <t>896,6</t>
  </si>
  <si>
    <t>1064-1054-1055-1059-1056-1051-1052-1005-1063-1050-1009-1066-1062</t>
  </si>
  <si>
    <t>ΣΤΡΑΤΗΓΑΚΟΥ</t>
  </si>
  <si>
    <t>Σ123162</t>
  </si>
  <si>
    <t>1004-1005-1006-1008-1009-1007-1047-1048-1049-1050-1051-1052-1053-1054-1055-1056-1057-1058-1059-1060-1061-1062-1063-1064-1065-1066-1067-1068</t>
  </si>
  <si>
    <t>ΤΕΡΖΟΥΔΗ</t>
  </si>
  <si>
    <t>ΑΒ127162</t>
  </si>
  <si>
    <t>ΜΠΑΛΤΖΗ</t>
  </si>
  <si>
    <t>ΦΛΩΡΙΚΑ</t>
  </si>
  <si>
    <t>Χ390242</t>
  </si>
  <si>
    <t>895,3</t>
  </si>
  <si>
    <t>1004-1009-1050-1051-1052-1056-1059-1062-1064-1066</t>
  </si>
  <si>
    <t>ΔΑΛΛΑ</t>
  </si>
  <si>
    <t>ΑΝ236830</t>
  </si>
  <si>
    <t>1054-1055-1064-1056-1050-1059-1051-1052-1060-1009-1066-1062-1005</t>
  </si>
  <si>
    <t>ΚΑΛΠΑΞΙΔΗΣ</t>
  </si>
  <si>
    <t>ΑΝ367800</t>
  </si>
  <si>
    <t>1049-1051-1052-1054-1055-1056-1059-1060-1064-1066-1009</t>
  </si>
  <si>
    <t>ΝΙΚΟΛΙΤΣΑ</t>
  </si>
  <si>
    <t>ΑΙ213928</t>
  </si>
  <si>
    <t>894,9</t>
  </si>
  <si>
    <t>ΛΕΚΚΑ</t>
  </si>
  <si>
    <t>ΑΚ387756</t>
  </si>
  <si>
    <t>589,6</t>
  </si>
  <si>
    <t>893,6</t>
  </si>
  <si>
    <t>1005-1009-1051-1054-1055-1050-1052-1056-1059-1060-1062-1064-1066</t>
  </si>
  <si>
    <t>ΠΑΝΑΓΙΩΤΑΚΗ</t>
  </si>
  <si>
    <t>ΑΚ003528</t>
  </si>
  <si>
    <t>893,3</t>
  </si>
  <si>
    <t>ΘΡΟΥΜΟΥΛΟΠΟΥΛΟΥ</t>
  </si>
  <si>
    <t>ΑΕ278675</t>
  </si>
  <si>
    <t>892,4</t>
  </si>
  <si>
    <t>1055-1059-1064-1056-1060-1051-1052-1066-1009</t>
  </si>
  <si>
    <t>ΜΕΡΑΝΤΖΑ</t>
  </si>
  <si>
    <t>ΑΗ849951</t>
  </si>
  <si>
    <t>1054-1055-1056-1006-1064-1059-1009-1005-1051-1052-1060</t>
  </si>
  <si>
    <t>ΑΡΓΥΡΟΠΟΥΛΟΣ</t>
  </si>
  <si>
    <t>ΑΑ319214</t>
  </si>
  <si>
    <t>891,6</t>
  </si>
  <si>
    <t>1005-1009-1051-1052-1054-1055-1056-1059-1064</t>
  </si>
  <si>
    <t>ΣΩΚΟΣ</t>
  </si>
  <si>
    <t>Ρ231687</t>
  </si>
  <si>
    <t>891,3</t>
  </si>
  <si>
    <t>1060-1051-1052-1055-1056-1059-1064-1009-1066</t>
  </si>
  <si>
    <t>ΤΣΑΚΙΡΟΠΟΥΛΟΣ</t>
  </si>
  <si>
    <t>1055-1056-1064-1059-1051-1052-1060-1009</t>
  </si>
  <si>
    <t>ΤΟΖΑΚΙΔΟΥ</t>
  </si>
  <si>
    <t>ΑΒ126450</t>
  </si>
  <si>
    <t>891,1</t>
  </si>
  <si>
    <t>1047-1048-1049-1050-1051-1052-1053-1054-1055-1056-1057-1058-1059-1060-1061-1062-1063-1064-1065-1066-1067-1068-1007-1008-1009</t>
  </si>
  <si>
    <t>ΣΩΤΗΡΙΑΔΟΥ</t>
  </si>
  <si>
    <t>ΑΕ640130</t>
  </si>
  <si>
    <t>890,9</t>
  </si>
  <si>
    <t>ΠΑΣΧΑΛΙΔΟΥ</t>
  </si>
  <si>
    <t>Χ258237</t>
  </si>
  <si>
    <t>890,8</t>
  </si>
  <si>
    <t>1055-1054-1056-1059-1060-1006-1005-1051-1050-1009-1064-1062-1066</t>
  </si>
  <si>
    <t>ΜΑΝΙΚΑΣ</t>
  </si>
  <si>
    <t>ΑΝ694240</t>
  </si>
  <si>
    <t>890,6</t>
  </si>
  <si>
    <t>1054-1055-1056-1066-1064-1059-1052-1060-1051-1009-1050-1062</t>
  </si>
  <si>
    <t>ΓΙΑΝΝΑΚΙΔΟΥ</t>
  </si>
  <si>
    <t>ΣΑΒΒΑΤΩ</t>
  </si>
  <si>
    <t>ΑΕ373921</t>
  </si>
  <si>
    <t>890,5</t>
  </si>
  <si>
    <t>1054-1055-1056-1059-1064-1005-1009-1051-1052-1060-1062-1066</t>
  </si>
  <si>
    <t>ΛΟΚΟΒΙΤΟΥ</t>
  </si>
  <si>
    <t>ΑΙ160967</t>
  </si>
  <si>
    <t>889,8</t>
  </si>
  <si>
    <t>1055-1054-1064-1056-1006-1059-1005-1052-1009-1051-1066</t>
  </si>
  <si>
    <t>ΒΑΓΔΟΥΤΗΣ</t>
  </si>
  <si>
    <t>Φ477587</t>
  </si>
  <si>
    <t>888,7</t>
  </si>
  <si>
    <t>1055-1066-1056-1064-1060-1051-1052-1059-1009-1049</t>
  </si>
  <si>
    <t>ΑΕ256737</t>
  </si>
  <si>
    <t>718,3</t>
  </si>
  <si>
    <t>888,3</t>
  </si>
  <si>
    <t>1060-1052-1051-1055-1056-1009-1064-1066-1059</t>
  </si>
  <si>
    <t>ΤΑΣΙΟΠΟΥΛΟΥ</t>
  </si>
  <si>
    <t>ΑΙ924724</t>
  </si>
  <si>
    <t>887,5</t>
  </si>
  <si>
    <t>ΤΕΛΑΚΗ</t>
  </si>
  <si>
    <t>Σ411851</t>
  </si>
  <si>
    <t>886,8</t>
  </si>
  <si>
    <t>ΚΙΟΣΣΕ</t>
  </si>
  <si>
    <t>ΑΖ854511</t>
  </si>
  <si>
    <t>886,2</t>
  </si>
  <si>
    <t>ΜΠΟΥΤΣΑΚΗΣ</t>
  </si>
  <si>
    <t>ΑΒ966823</t>
  </si>
  <si>
    <t>885,6</t>
  </si>
  <si>
    <t>1009-1060-1064-1066-1051-1052-1055-1059</t>
  </si>
  <si>
    <t>ΑΒ806308</t>
  </si>
  <si>
    <t>885,1</t>
  </si>
  <si>
    <t>ΚΟΥΤΣΟΥΚΗ</t>
  </si>
  <si>
    <t>ΧΡΥΣΟΒΑΛΑΝΤΟΥ</t>
  </si>
  <si>
    <t>Ρ986219</t>
  </si>
  <si>
    <t>883,4</t>
  </si>
  <si>
    <t>1052-1051-1066-1060-1054-1055-1064-1056-1059-1050-1009-1062</t>
  </si>
  <si>
    <t>ΚΑΤΣΙΑΝΑ</t>
  </si>
  <si>
    <t>ΑΕ819616</t>
  </si>
  <si>
    <t>880,7</t>
  </si>
  <si>
    <t>1037-1059-1025-1033-1034-1054-1055-1030-1043-1042-1064-1044-1006-1035-1056-1029-1027-1038-1051-1052-1060-1045-1041-1050-1046-1028-1026-1009-1032-1031-1036-1066-1062-1048-1039</t>
  </si>
  <si>
    <t>ΝΤΟΥΛΕ</t>
  </si>
  <si>
    <t>ΑΚ383472</t>
  </si>
  <si>
    <t>878,8</t>
  </si>
  <si>
    <t>1054-1064-1060-1052-1009-1066-1055-1056-1051-1059-1062-1050</t>
  </si>
  <si>
    <t>ΣΑΚΑΠΕΤΗΣ</t>
  </si>
  <si>
    <t>ΑΒ385610</t>
  </si>
  <si>
    <t>ΞΗΡΟΥΧΑΚΗΣ</t>
  </si>
  <si>
    <t>ΑΕ450335</t>
  </si>
  <si>
    <t>878,7</t>
  </si>
  <si>
    <t>1009-1051-1052-1054-1055-1056-1006-1064-1060-1059-1066-1050</t>
  </si>
  <si>
    <t>ΤΕΓΟΥ</t>
  </si>
  <si>
    <t>ΕΡΑΣΜΙΑ</t>
  </si>
  <si>
    <t>ΑΝ027545</t>
  </si>
  <si>
    <t>878,5</t>
  </si>
  <si>
    <t>1052-1051-1009-1059-1060-1055</t>
  </si>
  <si>
    <t>ΓΡΟΥΣΚΟΥ</t>
  </si>
  <si>
    <t>ΑΑ277296</t>
  </si>
  <si>
    <t>877,4</t>
  </si>
  <si>
    <t>1008-1009-1006-1007</t>
  </si>
  <si>
    <t>ΛΟΥΖΙΩΤΗ</t>
  </si>
  <si>
    <t>ΑΕ066610</t>
  </si>
  <si>
    <t>875,1</t>
  </si>
  <si>
    <t>ΠΙΣΚΙΟΥΛΗ</t>
  </si>
  <si>
    <t>ΑΕ681408</t>
  </si>
  <si>
    <t>872,7</t>
  </si>
  <si>
    <t>1055-1054-1064-1056-1006-1050-1059-1066-1062-1051-1052-1005-1060-1009</t>
  </si>
  <si>
    <t>ΧΡΗΣΤΑΡΑΣ</t>
  </si>
  <si>
    <t>ΑΝ802739</t>
  </si>
  <si>
    <t>871,9</t>
  </si>
  <si>
    <t>1060-1054-1055-1009-1052-1066</t>
  </si>
  <si>
    <t>ΓΚΟΥΛΙΟΣ</t>
  </si>
  <si>
    <t>ΑΜ709709</t>
  </si>
  <si>
    <t>1054-1055-1064-1056-1059-1050-1051-1052-1005-1060-1062-1009-1066</t>
  </si>
  <si>
    <t>ΑΞΙΩΤΗ</t>
  </si>
  <si>
    <t>Χ603475</t>
  </si>
  <si>
    <t>871,8</t>
  </si>
  <si>
    <t>ΑΙΚΑΤΕΡΙΝΗ ΑΘΗΝΑ</t>
  </si>
  <si>
    <t>Σ039289</t>
  </si>
  <si>
    <t>841,5</t>
  </si>
  <si>
    <t>871,5</t>
  </si>
  <si>
    <t>1009-1060-1052-1066-1051-1055-1056-1064-1059</t>
  </si>
  <si>
    <t>ΦΩΤΟΥ</t>
  </si>
  <si>
    <t>ΑΗ003241</t>
  </si>
  <si>
    <t>870,5</t>
  </si>
  <si>
    <t>1052-1051-1054-1055-1053-1009-1068-1060</t>
  </si>
  <si>
    <t>ΚΩΝΣΤΑΝΤΙΑ</t>
  </si>
  <si>
    <t>ΑΜ844321</t>
  </si>
  <si>
    <t>1057-1067-1007-1061-1048-1049-1054-1055-1056-1058-1059-1063-1064-1065-1066-1047-1051-1052-1053-1060-1062-1068-1008-1009-1050</t>
  </si>
  <si>
    <t>ΣΤΑΓΑΚΗ</t>
  </si>
  <si>
    <t>ΑΕ469829</t>
  </si>
  <si>
    <t>1009-1052-1051-1055-1054-1060-1056-1064-1006-1057-1005-1059-1050</t>
  </si>
  <si>
    <t>ΠΑΤΣΙΑΒΟΥ</t>
  </si>
  <si>
    <t>ΑΖ275324</t>
  </si>
  <si>
    <t>1048-1007-1067-1057-1061-1066-1054-1055-1052-1051-1058-1059-1005-1047-1065-1060-1049-1063-1064-1068-1008-1009-1053-1062-1050</t>
  </si>
  <si>
    <t>ΔΟΚΟΥ</t>
  </si>
  <si>
    <t>ΑΚ315535</t>
  </si>
  <si>
    <t>869,7</t>
  </si>
  <si>
    <t>1006-1064-1054-1055-1059-1005-1051-1052-1056-1060-1009</t>
  </si>
  <si>
    <t>ΤΖΙΩΤΗ  ΚΑΡΠΟΥΖΑ</t>
  </si>
  <si>
    <t>ΑΖ940557</t>
  </si>
  <si>
    <t>869,6</t>
  </si>
  <si>
    <t>1066-1052-1051-1060-1064-1059-1056-1055-1009</t>
  </si>
  <si>
    <t>ΤΣΑΡΟΥΧΑΣ</t>
  </si>
  <si>
    <t>Φ242589</t>
  </si>
  <si>
    <t>1060-1008-1009-1052-1051-1054-1055-1007-1056-1064-1059</t>
  </si>
  <si>
    <t>ΤΣΙΓΚΛΑ</t>
  </si>
  <si>
    <t>ΤΑΣΙΑ</t>
  </si>
  <si>
    <t>ΑΒ763611</t>
  </si>
  <si>
    <t>869,1</t>
  </si>
  <si>
    <t>1060-1009-1052-1059-1056-1064-1054-1005-1055-1051</t>
  </si>
  <si>
    <t>Χ795241</t>
  </si>
  <si>
    <t>639,1</t>
  </si>
  <si>
    <t>1060-1056-1052-1051-1055-1059-1064-1009</t>
  </si>
  <si>
    <t>ΔΙΑΒΟΛΙΤΣΗΣ</t>
  </si>
  <si>
    <t>Χ634541</t>
  </si>
  <si>
    <t>1007-1008-1009-1047-1048</t>
  </si>
  <si>
    <t>ΓΟΥΣΙΑ</t>
  </si>
  <si>
    <t>ΑΜΑΛΙΑ</t>
  </si>
  <si>
    <t>Φ091806</t>
  </si>
  <si>
    <t>868,8</t>
  </si>
  <si>
    <t>1051-1052-1060-1005-1054-1055-1059-1056-1064-1050-1066-1062-1009</t>
  </si>
  <si>
    <t>ΤΣΙΝΤΖΑΣ</t>
  </si>
  <si>
    <t>Χ977856</t>
  </si>
  <si>
    <t>867,8</t>
  </si>
  <si>
    <t>ΓΩΝΙΑΝΑΚΗΣ</t>
  </si>
  <si>
    <t>ΑΚ477930</t>
  </si>
  <si>
    <t>866,9</t>
  </si>
  <si>
    <t>ΠΑΤΣΙΑΒΟΥΔΗ</t>
  </si>
  <si>
    <t>ΑΕ833669</t>
  </si>
  <si>
    <t>866,3</t>
  </si>
  <si>
    <t>1009-1059-1064-1056-1051-1052</t>
  </si>
  <si>
    <t>ΠΑΛΛΑΝΤΖΑ</t>
  </si>
  <si>
    <t>ΑΒ425576</t>
  </si>
  <si>
    <t>865,8</t>
  </si>
  <si>
    <t>ΤΡΑΒΑΓΙΑΚΗΣ</t>
  </si>
  <si>
    <t>ΑΗ458448</t>
  </si>
  <si>
    <t>865,6</t>
  </si>
  <si>
    <t>ΓΚΕΡΠΕΝΗ</t>
  </si>
  <si>
    <t>ΑΕ116518</t>
  </si>
  <si>
    <t>613,8</t>
  </si>
  <si>
    <t>863,8</t>
  </si>
  <si>
    <t>1005-1006-1051-1052-1055-1056-1059-1060-1066-1064-1009</t>
  </si>
  <si>
    <t>ΖΩΙΔΗ</t>
  </si>
  <si>
    <t>ΒΙΚΤΩΡΙΑ</t>
  </si>
  <si>
    <t>Σ302818</t>
  </si>
  <si>
    <t>863,1</t>
  </si>
  <si>
    <t>ΑΕ096747</t>
  </si>
  <si>
    <t>1059-1060-1067-1055-1051-1052-1009</t>
  </si>
  <si>
    <t>ΣΤΥΛΟΥ</t>
  </si>
  <si>
    <t>ΑΒ835589</t>
  </si>
  <si>
    <t>862,9</t>
  </si>
  <si>
    <t>1054-1055-1064-1059-1056-1005-1051-1052-1060-1009</t>
  </si>
  <si>
    <t>ΤΣΑΚΜΑΚΗΣ</t>
  </si>
  <si>
    <t>Ρ989494</t>
  </si>
  <si>
    <t>861,9</t>
  </si>
  <si>
    <t>1052-1051-1054-1055-1064-1056-1059-1009</t>
  </si>
  <si>
    <t>ΠΑΠΑΘΑΝΑΣΟΠΟΥΛΟΥ</t>
  </si>
  <si>
    <t>ΑΜ178379</t>
  </si>
  <si>
    <t>861,5</t>
  </si>
  <si>
    <t>1051-1052-1060-1049-1048-1061-1056-1055-1059-1064-1068-1008-1009-1053</t>
  </si>
  <si>
    <t>Παντόπουλος</t>
  </si>
  <si>
    <t>Σταύρος</t>
  </si>
  <si>
    <t>ΑΖ304457</t>
  </si>
  <si>
    <t>860,5</t>
  </si>
  <si>
    <t>ΣΜΥΡΗ</t>
  </si>
  <si>
    <t>Χ796861</t>
  </si>
  <si>
    <t>858,9</t>
  </si>
  <si>
    <t>1007-1008-1009-1006-1005</t>
  </si>
  <si>
    <t>ΤΗΛΙΩΚΗ</t>
  </si>
  <si>
    <t>Τ466003</t>
  </si>
  <si>
    <t>858,5</t>
  </si>
  <si>
    <t>1054-1056-1064-1059-1052-1051-1050-1006-1005-1060-1066-1009-1062</t>
  </si>
  <si>
    <t>ΛΥΓΟΥΡΑ</t>
  </si>
  <si>
    <t>Χ912376</t>
  </si>
  <si>
    <t>858,2</t>
  </si>
  <si>
    <t>1064-1059-1066-1055-1060-1051-1052-1056-1009</t>
  </si>
  <si>
    <t>ΤΣΙΟΤΣΙΟΥ</t>
  </si>
  <si>
    <t>Φ278138</t>
  </si>
  <si>
    <t>857,6</t>
  </si>
  <si>
    <t>1059-1054-1055-1064-1056-1009-1066-1052-1060-1062-1051</t>
  </si>
  <si>
    <t>ΑΕ274652</t>
  </si>
  <si>
    <t>ΝΤΙΛΟΥ</t>
  </si>
  <si>
    <t>ΒΑΣΙΛΗΣ</t>
  </si>
  <si>
    <t>ΑΗ581455</t>
  </si>
  <si>
    <t>857,5</t>
  </si>
  <si>
    <t>1007-1008-1006-1005-1009</t>
  </si>
  <si>
    <t>ΜΑΥΡΟΓΙΑΝΝΑΚΗ</t>
  </si>
  <si>
    <t>ΑΗ968090</t>
  </si>
  <si>
    <t>697,4</t>
  </si>
  <si>
    <t>857,4</t>
  </si>
  <si>
    <t>ΘΕΟΔΟΣΙΟΣ</t>
  </si>
  <si>
    <t>Χ268489</t>
  </si>
  <si>
    <t>856,8</t>
  </si>
  <si>
    <t>1064-1051-1052-1054-1055-1056-1059-1060-1009</t>
  </si>
  <si>
    <t>ΚΑΡΑΜΗΝΤΖΑΣ</t>
  </si>
  <si>
    <t>ΑΜ872071</t>
  </si>
  <si>
    <t>586,3</t>
  </si>
  <si>
    <t>856,3</t>
  </si>
  <si>
    <t>ΑΓΓΕΛΑΚΟΠΟΥΛΟΣ</t>
  </si>
  <si>
    <t>ΝΙΚΟΛΑΟΣ-ΠΑΝΑΓΙΩΤΗΣ</t>
  </si>
  <si>
    <t>ΑΒ491658</t>
  </si>
  <si>
    <t>855,6</t>
  </si>
  <si>
    <t>1009-1051-1052-1059-1060-1055-1056-1064-1066</t>
  </si>
  <si>
    <t>ΛΥΚΟΥΣΗΣ</t>
  </si>
  <si>
    <t>ΑΒ387360</t>
  </si>
  <si>
    <t>855,4</t>
  </si>
  <si>
    <t>1060-1009-1051-1052-1006-1066-1055-1056-1008-1064-1005-1054-1007-1047-1048-1049-1050-1053-1057-1058-1061-1062-1063-1065-1067-1068-1059</t>
  </si>
  <si>
    <t>ΝΑΣΙΟΠΟΥΛΟΥ</t>
  </si>
  <si>
    <t>ΕΛΠΙΔΑ</t>
  </si>
  <si>
    <t>ΑΖ299747</t>
  </si>
  <si>
    <t>1005-1006-1009-1051-1052-1054-1059-1064</t>
  </si>
  <si>
    <t>ΧΑΧΛΙΟΥΤΗ</t>
  </si>
  <si>
    <t>ΜΑΡΙΝΑ ΕΛΕΝΗ</t>
  </si>
  <si>
    <t>ΑΕ961137</t>
  </si>
  <si>
    <t>855,3</t>
  </si>
  <si>
    <t>ΤΟΠΤΣΗ</t>
  </si>
  <si>
    <t>ΕΡΙΦΥΛΗ</t>
  </si>
  <si>
    <t>ΑΚ436273</t>
  </si>
  <si>
    <t>854,3</t>
  </si>
  <si>
    <t>1006-1007-1005-1009</t>
  </si>
  <si>
    <t>ΒΑΣΙΛΑΚΗ</t>
  </si>
  <si>
    <t>ΑΜ320484</t>
  </si>
  <si>
    <t>1052-1055-1054-1059-1051-1066-1064-1056-1009-1062</t>
  </si>
  <si>
    <t>ΜΟΥΣΑΚΟΥ</t>
  </si>
  <si>
    <t>ΛΟΥΚΙΑ ΑΓΓΕΛΙΚΗ</t>
  </si>
  <si>
    <t>ΙΣΙΔΩΡΟΣ ΚΑΡΟΛΟΣ</t>
  </si>
  <si>
    <t>ΑΖ635566</t>
  </si>
  <si>
    <t>854,2</t>
  </si>
  <si>
    <t>1060-1051-1052-1055-1056-1009-1059-1064-1066</t>
  </si>
  <si>
    <t>ΚΥΡΙΑΚΟΥ</t>
  </si>
  <si>
    <t>ΑΣΤΕΡΩ</t>
  </si>
  <si>
    <t>ΑΒ114239</t>
  </si>
  <si>
    <t>853,9</t>
  </si>
  <si>
    <t>ΜΠΟΥΡΔΑΚΗΣ</t>
  </si>
  <si>
    <t>ΑΚ738046</t>
  </si>
  <si>
    <t>853,7</t>
  </si>
  <si>
    <t>1009-1055-1054-1056-1052</t>
  </si>
  <si>
    <t>ΦΟΥΡΛΑ</t>
  </si>
  <si>
    <t>ΑΗ477119</t>
  </si>
  <si>
    <t>653,4</t>
  </si>
  <si>
    <t>853,4</t>
  </si>
  <si>
    <t>1048-1047-1051-1052-1067-1059-1056-1009-1053</t>
  </si>
  <si>
    <t>ΧΑΡΙΤΙΔΗΣ</t>
  </si>
  <si>
    <t>ΑΝ360759</t>
  </si>
  <si>
    <t>852,1</t>
  </si>
  <si>
    <t>1055-1064-1008-1009-1056-1059</t>
  </si>
  <si>
    <t>ΚΟΚΚΑΛΑ</t>
  </si>
  <si>
    <t>ΑΙ985268</t>
  </si>
  <si>
    <t>1051-1052-1060-1055-1056-1064-1059-1009-1066</t>
  </si>
  <si>
    <t>ΑΦΟΡΟΖΗ</t>
  </si>
  <si>
    <t>ΞΑΝΘΟΥΛΑ</t>
  </si>
  <si>
    <t>ΑΕ829232</t>
  </si>
  <si>
    <t>1059-1064-1056-1051-1052-1066-1009</t>
  </si>
  <si>
    <t>ΑΡΓΥΡΟΠΟΥΛΟΥ</t>
  </si>
  <si>
    <t>Χ404015</t>
  </si>
  <si>
    <t>851,6</t>
  </si>
  <si>
    <t>1060-1064-1059-1056-1055-1052-1051-1009</t>
  </si>
  <si>
    <t>ΠΟΛΥΖΑ</t>
  </si>
  <si>
    <t>ΑΖ344813</t>
  </si>
  <si>
    <t>850,2</t>
  </si>
  <si>
    <t>1054-1055-1056-1060-1064-1009-1051-1052-1059-1005-1006-1066-1062-1050</t>
  </si>
  <si>
    <t>ΙΟΡΔΑΝΟΠΟΥΛΟΣ</t>
  </si>
  <si>
    <t>ΑΖ890279</t>
  </si>
  <si>
    <t>1056-1055-1059-1009-1060-1052-1051-1064-1066</t>
  </si>
  <si>
    <t>ΑΗ262810</t>
  </si>
  <si>
    <t>1006-1061-1007-1067-1057-1048-1064-1059-1054-1055-1005-1047-1056-1060-1051-1052-1049-1009-1053-1008</t>
  </si>
  <si>
    <t>ΝΤΙΚΟΥΔΗ</t>
  </si>
  <si>
    <t>ΑΗ761979</t>
  </si>
  <si>
    <t>848,8</t>
  </si>
  <si>
    <t>1006-1064-1055-1009-1052-1056-1059-1005-1054-1051</t>
  </si>
  <si>
    <t>ΓΕΡΑΦΕΝΤΗ</t>
  </si>
  <si>
    <t>ΕΠΑΜΕΙΝΩΝΔΑΣ</t>
  </si>
  <si>
    <t>ΑΒ077946</t>
  </si>
  <si>
    <t>848,4</t>
  </si>
  <si>
    <t>1006-1008-1009-1005</t>
  </si>
  <si>
    <t>ΤΟΠΑΛΣΑΒΒΑ</t>
  </si>
  <si>
    <t>ΑΖ 587032</t>
  </si>
  <si>
    <t>847,5</t>
  </si>
  <si>
    <t>1006-1009-1050-1051-1052-1054-1055-1056-1060-1059-1062-1064-1066</t>
  </si>
  <si>
    <t>ΧΑΙΤΑ</t>
  </si>
  <si>
    <t>ΑΚ445523</t>
  </si>
  <si>
    <t>846,9</t>
  </si>
  <si>
    <t>1056-1055-1054-1059-1064-1066-1050-1051-1052-1060-1009-1062</t>
  </si>
  <si>
    <t>ΜΠΟΥΡΑΖΑΝΗΣ</t>
  </si>
  <si>
    <t>ΑΕ497863</t>
  </si>
  <si>
    <t>846,6</t>
  </si>
  <si>
    <t>1052-1060-1051-1005-1056-1066-1055-1054-1009-1064-1059-1050-1062</t>
  </si>
  <si>
    <t>ΒΑΣΙΛΕΙΟΥ</t>
  </si>
  <si>
    <t>ΑΒ015154</t>
  </si>
  <si>
    <t>846,2</t>
  </si>
  <si>
    <t>1009-1052-1051-1056-1055-1059-1060-1064</t>
  </si>
  <si>
    <t>ΜΠΑΛΗ</t>
  </si>
  <si>
    <t>ΑΒ783461</t>
  </si>
  <si>
    <t>845,6</t>
  </si>
  <si>
    <t>1060-1051-1052-1005-1006-1064-1054-1055-1056-1059-1050-1066-1009</t>
  </si>
  <si>
    <t>ΑΡΙΣΤΕΙΔΟΥ</t>
  </si>
  <si>
    <t>ΔΗΜΗΤΡΑΚΗΣ</t>
  </si>
  <si>
    <t>ΑΜ973798</t>
  </si>
  <si>
    <t>ΑΜΟΙΡΙΔΗΣ</t>
  </si>
  <si>
    <t>ΑΙ886120</t>
  </si>
  <si>
    <t>843,2</t>
  </si>
  <si>
    <t>1055-1054-1059-1064-1056-1051-1052-1009-1060</t>
  </si>
  <si>
    <t>ΚΑΤΣΑΡΟΣ</t>
  </si>
  <si>
    <t>ΑΚ325293</t>
  </si>
  <si>
    <t>842,8</t>
  </si>
  <si>
    <t>1009-1006-1005-1008</t>
  </si>
  <si>
    <t>ΜΠΑΛΝΤΟΥΜΑ</t>
  </si>
  <si>
    <t>Ξ683361</t>
  </si>
  <si>
    <t>842,2</t>
  </si>
  <si>
    <t>ΣΠΑΝΑΚΗ</t>
  </si>
  <si>
    <t>ΑΕ962012</t>
  </si>
  <si>
    <t>841,8</t>
  </si>
  <si>
    <t>ΠΛΑΣΤΗΡΑ</t>
  </si>
  <si>
    <t>ΑΖ719794</t>
  </si>
  <si>
    <t>ΔΗΜΗΤΡΙΑΔΗΣ</t>
  </si>
  <si>
    <t>ΝΙΚΟΛΑΟΣ-ΣΠΥΡΙΔΩΝ</t>
  </si>
  <si>
    <t>ΑΜ064651</t>
  </si>
  <si>
    <t>841,4</t>
  </si>
  <si>
    <t>ΚΥΡΟΥ</t>
  </si>
  <si>
    <t>ΑΙ 325381</t>
  </si>
  <si>
    <t>840,9</t>
  </si>
  <si>
    <t>1059-1067-1007-1054-1055-1064-1061-1048-1047-1049-1056-1052-1051-1060-1068-1053-1009-1008</t>
  </si>
  <si>
    <t>ΜΑΓΓΑ</t>
  </si>
  <si>
    <t>ΠΟΛΥΞΕΝΗ</t>
  </si>
  <si>
    <t>ΑΕ789040</t>
  </si>
  <si>
    <t>1064-1055-1066-1054-1056-1005-1051-1052-1059-1060-1050-1009</t>
  </si>
  <si>
    <t>ΝΤΙΝΑ</t>
  </si>
  <si>
    <t>Φ265968</t>
  </si>
  <si>
    <t>839,6</t>
  </si>
  <si>
    <t>1009-1048-1051-1052-1053-1055-1056-1059-1060-1063-1064-1065-1066-1068</t>
  </si>
  <si>
    <t>ΤΑΤΣΗ</t>
  </si>
  <si>
    <t>ΑΖ720219</t>
  </si>
  <si>
    <t>ΘΕΟΔΩΡΙΔΟΥ</t>
  </si>
  <si>
    <t>ΑΑ282039</t>
  </si>
  <si>
    <t>837,8</t>
  </si>
  <si>
    <t>1055-1054-1059-1064-1009-1062</t>
  </si>
  <si>
    <t>ΜΠΙΣΤΙΝΤΖΑΝΟΥ</t>
  </si>
  <si>
    <t>ΑΙ723330</t>
  </si>
  <si>
    <t>837,4</t>
  </si>
  <si>
    <t>ΚΩΤΗ</t>
  </si>
  <si>
    <t>ΚΑΛΛΙΟΠΗ</t>
  </si>
  <si>
    <t>ΑΝ431901</t>
  </si>
  <si>
    <t>836,3</t>
  </si>
  <si>
    <t>1053-1009-1068</t>
  </si>
  <si>
    <t>ΤΣΑΚΝΑ</t>
  </si>
  <si>
    <t>ΑΕ727292</t>
  </si>
  <si>
    <t>1060-1051-1052-1055-1009-1059-1064-1056-1066</t>
  </si>
  <si>
    <t>ΤΖΙΜΑ</t>
  </si>
  <si>
    <t>ΔΟΝΑΤΟΣ</t>
  </si>
  <si>
    <t>Τ335936</t>
  </si>
  <si>
    <t>716,1</t>
  </si>
  <si>
    <t>836,1</t>
  </si>
  <si>
    <t>1009-1050-1051-1052-1054-1056-1059-1062-1064-1066-1055-1060</t>
  </si>
  <si>
    <t>ΜΠΟΥΜΠΟΥΡΑ</t>
  </si>
  <si>
    <t>ΑΑ991119</t>
  </si>
  <si>
    <t>835,6</t>
  </si>
  <si>
    <t>ΤΣΟΥΜΑΝΗ</t>
  </si>
  <si>
    <t>ΑΖ739812</t>
  </si>
  <si>
    <t>835,2</t>
  </si>
  <si>
    <t>1059-1064-1055-1060-1056-1051-1052-1066-1009</t>
  </si>
  <si>
    <t>ΠΑΝΤΖΕΛΙΟΥΔΑΚΗ</t>
  </si>
  <si>
    <t>ΑΚ294521</t>
  </si>
  <si>
    <t>1005-1006-1008-1009</t>
  </si>
  <si>
    <t>ΓΟΥΡΝΑΡΗΣ</t>
  </si>
  <si>
    <t>ΑΒ423067</t>
  </si>
  <si>
    <t>ΚΟΥΓΙΟΥΜΟΥΤΖΗ</t>
  </si>
  <si>
    <t>ΑΒ966826</t>
  </si>
  <si>
    <t>1009-1053-1067</t>
  </si>
  <si>
    <t>ΤΑΒΕΡΝΑΡΑΚΗΣ</t>
  </si>
  <si>
    <t>ΑΗ967223</t>
  </si>
  <si>
    <t>ΛΑΣΚΑΡΙΔΟΥ</t>
  </si>
  <si>
    <t>ΕΙΡΗΝΗ ΚΑΛΛΙΡΟΗ</t>
  </si>
  <si>
    <t>ΑΗ143337</t>
  </si>
  <si>
    <t>ΠΛΑΣΤΗΡΑΣ</t>
  </si>
  <si>
    <t>ΑΚ391840</t>
  </si>
  <si>
    <t>834,5</t>
  </si>
  <si>
    <t>1005-1006-1009-1051-1052-1054-1055-1056-1059-1060-1064-1050-1062</t>
  </si>
  <si>
    <t>ΜΠΑΝΤΩΛΑ</t>
  </si>
  <si>
    <t>ΑΖ777312</t>
  </si>
  <si>
    <t>834,4</t>
  </si>
  <si>
    <t>ΜΑΝΟΥ</t>
  </si>
  <si>
    <t>ΑΕ288535</t>
  </si>
  <si>
    <t>834,3</t>
  </si>
  <si>
    <t>1055-1054-1060-1056-1059-1064-1052-1051-1009-1050-1066-1062</t>
  </si>
  <si>
    <t>ΜΑΜΑΣ</t>
  </si>
  <si>
    <t>Χ357930</t>
  </si>
  <si>
    <t>833,4</t>
  </si>
  <si>
    <t>ΑΚ294522</t>
  </si>
  <si>
    <t>ΨΑΘΑ</t>
  </si>
  <si>
    <t>ΠΑΣΧΑΛΙΝΑ</t>
  </si>
  <si>
    <t>ΑΖ840236</t>
  </si>
  <si>
    <t>832,9</t>
  </si>
  <si>
    <t>ΣΥΡΙΟΠΟΥΛΟΥ</t>
  </si>
  <si>
    <t>ΑΕ237061</t>
  </si>
  <si>
    <t>832,8</t>
  </si>
  <si>
    <t>1060-1051-1052-1055-1059-1056-1064-1009-1066</t>
  </si>
  <si>
    <t>ΑΕ743163</t>
  </si>
  <si>
    <t>832,3</t>
  </si>
  <si>
    <t>1060-1051-1052-1054-1055-1009-1064-1056-1059</t>
  </si>
  <si>
    <t>ΧΟΡΤΗΣ</t>
  </si>
  <si>
    <t>Τ118079</t>
  </si>
  <si>
    <t>831,9</t>
  </si>
  <si>
    <t>1056-1055-1060-1052-1051-1064-1059-1009</t>
  </si>
  <si>
    <t>ΚΑΤΣΑΝΤΩΝΗ</t>
  </si>
  <si>
    <t>ΑΑ942773</t>
  </si>
  <si>
    <t>831,5</t>
  </si>
  <si>
    <t>1064-1055-1054-1059-1056-1005-1052-1051-1066-1009-1060-1050-1062</t>
  </si>
  <si>
    <t>ΓΕΡΟΝΤΗ</t>
  </si>
  <si>
    <t>ΑΚ469471</t>
  </si>
  <si>
    <t>1008-1009-1053-1068-1060-1061-1052-1048</t>
  </si>
  <si>
    <t>ΔΟΥΦΕΞΗ</t>
  </si>
  <si>
    <t>ΑΜ515718</t>
  </si>
  <si>
    <t>831,2</t>
  </si>
  <si>
    <t>1005-1060-1051-1052-1054-1055-1056-1064-1059-1009</t>
  </si>
  <si>
    <t>ΣΚΑΤΖΗ</t>
  </si>
  <si>
    <t>ΟΛΓΑ-ΠΑΡΑΣΚΕΥΗ</t>
  </si>
  <si>
    <t>ΑΚ458473</t>
  </si>
  <si>
    <t>830,8</t>
  </si>
  <si>
    <t>1005-1006-1007-1008-1009-1050-1048-1047-1049-1052-1051-1053-1054-1055-1056-1057-1058-1059-1060-1061-1062-1063-1064-1065-1066-1067-1068</t>
  </si>
  <si>
    <t>ΚΑΤΣΑΡΑΣ</t>
  </si>
  <si>
    <t>ΑΙ833218</t>
  </si>
  <si>
    <t>830,4</t>
  </si>
  <si>
    <t>ΜΙΧΕΛΙΝΑΚΗ</t>
  </si>
  <si>
    <t>ΑΖ463255</t>
  </si>
  <si>
    <t>830,1</t>
  </si>
  <si>
    <t>ΣΕΡΑΦΕΙΜ</t>
  </si>
  <si>
    <t>ΑΙ863131</t>
  </si>
  <si>
    <t>829,7</t>
  </si>
  <si>
    <t>1055-1056-1064-1052-1051-1059-1060-1009</t>
  </si>
  <si>
    <t>ΒΟΥΤΣΙΔΟΥ</t>
  </si>
  <si>
    <t>ΔΑΝΑΗ</t>
  </si>
  <si>
    <t>ΑΗ293205</t>
  </si>
  <si>
    <t>1059-1064-1056-1009-1054-1051-1052-1005-1062-1050</t>
  </si>
  <si>
    <t>ΔΟΥΡΔΟΥΜΠΑΚΗ</t>
  </si>
  <si>
    <t>ΑΑ248676</t>
  </si>
  <si>
    <t>828,6</t>
  </si>
  <si>
    <t>1059-1056-1009-1052-1057-1064-1066</t>
  </si>
  <si>
    <t>ΤΣΙΟΥΡΒΟΠΟΥΛΟΥ</t>
  </si>
  <si>
    <t>ΑΖ262009</t>
  </si>
  <si>
    <t>828,4</t>
  </si>
  <si>
    <t>1007-1067-1064-1047-1048-1051-1052-1055-1054-1059-1060-1056-1068-1009-1053</t>
  </si>
  <si>
    <t>ΣΤΕΦΑΝΑΚΗ</t>
  </si>
  <si>
    <t>ΧΡΥΣΟΒΑΛΑΝΤΟΥ-ΧΡΙΣΤΙΝΑ</t>
  </si>
  <si>
    <t>ΑΚ708429</t>
  </si>
  <si>
    <t>1052-1051-1009-1055-1056-1059-1060-1064</t>
  </si>
  <si>
    <t>ΒΛΑΧΟΠΟΥΛΟΥ</t>
  </si>
  <si>
    <t xml:space="preserve">Ελένη </t>
  </si>
  <si>
    <t>Σ356302</t>
  </si>
  <si>
    <t>827,9</t>
  </si>
  <si>
    <t>1054-1055-1051-1052-1009-1060-1056-1059-1064-1005-1006</t>
  </si>
  <si>
    <t>ΖΑΓΚΟΣ</t>
  </si>
  <si>
    <t>ΑΕ448896</t>
  </si>
  <si>
    <t>1054-1055-1053-1008-1009-1051-1007-1006-1056-1057-1059-1060-1061-1067-1068</t>
  </si>
  <si>
    <t>ΒΑΡΣΑΜΗΣ</t>
  </si>
  <si>
    <t>ΑΗ658872</t>
  </si>
  <si>
    <t>1054-1055-1056-1064-1059-1005-1051-1052-1060-1009-1066-1050-1062</t>
  </si>
  <si>
    <t>ΦΟΒΑΚΗ</t>
  </si>
  <si>
    <t>ΜΑΝΟΥΣΟΣ</t>
  </si>
  <si>
    <t>ΑΚ697572</t>
  </si>
  <si>
    <t>826,8</t>
  </si>
  <si>
    <t>ΓΟΥΜΕΝΑΚΗΣ</t>
  </si>
  <si>
    <t>ΑΒ486227</t>
  </si>
  <si>
    <t>1009-1066-1062-1050-1005-1059-1051-1052-1056-1064-1060-1054-1055</t>
  </si>
  <si>
    <t>ΣΩΤΗΡΙΟΥ</t>
  </si>
  <si>
    <t>ΕΛΕΝΗ ΧΡΥΣΟΒΑΛΑΝΤΗ</t>
  </si>
  <si>
    <t>ΑΜ367695</t>
  </si>
  <si>
    <t>826,6</t>
  </si>
  <si>
    <t>1055-1054-1064-1006-1052-1051-1056-1005-1009-1059</t>
  </si>
  <si>
    <t>ΝΤΙΣΙΟΥ</t>
  </si>
  <si>
    <t>Χ879382</t>
  </si>
  <si>
    <t>826,4</t>
  </si>
  <si>
    <t>1059-1064-1061-1009-1056-1055-1060-1051-1052-1066</t>
  </si>
  <si>
    <t>ΑΘΟΥΣΑΚΗ</t>
  </si>
  <si>
    <t>ΑΕ464676</t>
  </si>
  <si>
    <t>826,3</t>
  </si>
  <si>
    <t>1009-1053-1068-1005-1004-1007-1008-1047-1048-1049-1050-1051-1052-1056-1054-1055-1057-1058-1059-1060-1061-1062-1063-1064-1065-1067-1066</t>
  </si>
  <si>
    <t>ΑΗ179773</t>
  </si>
  <si>
    <t>ΜΩΥΣΙΑΔΗΣ</t>
  </si>
  <si>
    <t>Χ394498</t>
  </si>
  <si>
    <t>1055-1054-1059-1005-1006-1009-1048-1047-1049-1050-1051-1052-1053-1056-1057-1058-1060-1061-1062-1063-1064-1065-1066-1067-1068-1007-1008</t>
  </si>
  <si>
    <t>ΤΣΑΚΜΑΚΙΔΗ</t>
  </si>
  <si>
    <t>ΦΩΤΕΙΝΗ ΠΑΡΑΣΚΕΥΗ</t>
  </si>
  <si>
    <t>ΑΒ634647</t>
  </si>
  <si>
    <t>825,8</t>
  </si>
  <si>
    <t>ΠΑΤΑΤΟΥΚΑ</t>
  </si>
  <si>
    <t>ΛΟΥΚΙΑ</t>
  </si>
  <si>
    <t>ΑΜ299689</t>
  </si>
  <si>
    <t>825,7</t>
  </si>
  <si>
    <t>1050-1062-1058-1059-1064-1056-1054-1055-1006-1066-1051-1052-1060-1009</t>
  </si>
  <si>
    <t>ΠΑΝΑΓΙΩΤΟΠΟΥΛΟΥ</t>
  </si>
  <si>
    <t>ΑΗ717539</t>
  </si>
  <si>
    <t>825,3</t>
  </si>
  <si>
    <t>1051-1052-1056-1059-1064-1009</t>
  </si>
  <si>
    <t>ΑΡΕΤΙΝΗ</t>
  </si>
  <si>
    <t>Χ853831</t>
  </si>
  <si>
    <t>824,2</t>
  </si>
  <si>
    <t>ΣΑΛΑΒΑΤΗ</t>
  </si>
  <si>
    <t>Χ228919</t>
  </si>
  <si>
    <t>823,8</t>
  </si>
  <si>
    <t>1055-1054-1064-1058-1063-1065-1061-1059-1056-1057-1067-1007-1050-1005-1047-1048-1049-1051-1052-1066-1009-1053-1008-1068-1060-1062</t>
  </si>
  <si>
    <t>ΓΚΙΚΑΣ</t>
  </si>
  <si>
    <t>ΑΒ292439</t>
  </si>
  <si>
    <t>823,5</t>
  </si>
  <si>
    <t>1005-1009-1050-1051-1052-1053-1054-1055-1056-1059-1062-1064-1060-1066</t>
  </si>
  <si>
    <t>ΚΑΡΥΔΑ</t>
  </si>
  <si>
    <t>ΑΗ655391</t>
  </si>
  <si>
    <t>823,1</t>
  </si>
  <si>
    <t>1005-1007-1008-1009-1047-1048-1049-1050-1051-1052-1053-1054-1055-1056-1057-1058-1059-1060-1061-1062-1063-1064-1065-1066-1067-1068</t>
  </si>
  <si>
    <t>ΣΑΒΒΑ</t>
  </si>
  <si>
    <t>ΑΖ222451</t>
  </si>
  <si>
    <t>822,5</t>
  </si>
  <si>
    <t>ΚΑΤΣΑΦΑΡΟΣ</t>
  </si>
  <si>
    <t>ΙΩΑΝΝΗΣ ΑΝΑΣΤΑΣΙΟΣ</t>
  </si>
  <si>
    <t>ΑΒ303318</t>
  </si>
  <si>
    <t>822,4</t>
  </si>
  <si>
    <t>1006-1007-1008-1009-1051-1052-1054-1055-1056-1059-1060-1062-1064</t>
  </si>
  <si>
    <t>ΚΑΡΣΑΝΙΔΟΥ</t>
  </si>
  <si>
    <t>ΑΝ692647</t>
  </si>
  <si>
    <t>821,3</t>
  </si>
  <si>
    <t>1009-1055-1054-1005-1006-1052-1056-1059-1060-1064</t>
  </si>
  <si>
    <t>ΦΟΥΝΤΟΥΛΑΚΗ</t>
  </si>
  <si>
    <t>ΑΖ461913</t>
  </si>
  <si>
    <t>ΒΑΓΙΑΝΝΗ</t>
  </si>
  <si>
    <t>Τ406542</t>
  </si>
  <si>
    <t>ΖΟΥΜΠΟΥΛΗ</t>
  </si>
  <si>
    <t>ΕΜΜΑΝΟΥΕΛΑ</t>
  </si>
  <si>
    <t>ΑΒ486455</t>
  </si>
  <si>
    <t>819,8</t>
  </si>
  <si>
    <t>1009-1008-1068-1055</t>
  </si>
  <si>
    <t>ΨΥΧΟΓΥΙΟΣ</t>
  </si>
  <si>
    <t>ΑΙ786729</t>
  </si>
  <si>
    <t>819,4</t>
  </si>
  <si>
    <t>1060-1008-1009-1053-1068</t>
  </si>
  <si>
    <t>ΑΙ505715</t>
  </si>
  <si>
    <t>819,1</t>
  </si>
  <si>
    <t>ΤΖΟΥΡΤΖΟΥ</t>
  </si>
  <si>
    <t>ΑΕ874282</t>
  </si>
  <si>
    <t>818,7</t>
  </si>
  <si>
    <t>1064-1059-1055-1056-1051-1052-1060-1009</t>
  </si>
  <si>
    <t>ΒΟΥΚΕΛΑΤΟΣ</t>
  </si>
  <si>
    <t>ΑΒ242799</t>
  </si>
  <si>
    <t>ΣΜΥΡΝΗΣ</t>
  </si>
  <si>
    <t>ΑΗ207480</t>
  </si>
  <si>
    <t>1049-1060-1047-1005-1051-1052-1048-1061-1067-1007-1057-1054-1055-1059-1064-1063-1058-1065-1056-1066-1008-1009-1053-1068-1050-1062</t>
  </si>
  <si>
    <t>ΚΑΡΑΜΠΙΔΟΥ</t>
  </si>
  <si>
    <t>ΑΜ902304</t>
  </si>
  <si>
    <t>817,8</t>
  </si>
  <si>
    <t>1055-1009-1064-1054-1056-1059-1051-1052-1050-1066-1060</t>
  </si>
  <si>
    <t>VLAHOU</t>
  </si>
  <si>
    <t>EVANGELIA</t>
  </si>
  <si>
    <t>EFTHIMIOS</t>
  </si>
  <si>
    <t>Φ122420</t>
  </si>
  <si>
    <t>817,2</t>
  </si>
  <si>
    <t>ΝΙΚΟΛΑΪΔΟΥ</t>
  </si>
  <si>
    <t>ΘΕΟΠΙΣΤΗ</t>
  </si>
  <si>
    <t xml:space="preserve">ΣΑΒΒΑΣ </t>
  </si>
  <si>
    <t>ΑΒ160662</t>
  </si>
  <si>
    <t>816,9</t>
  </si>
  <si>
    <t>1005-1009</t>
  </si>
  <si>
    <t>ΜΠΟΝΟΥ</t>
  </si>
  <si>
    <t>ΑΗ489574</t>
  </si>
  <si>
    <t>816,5</t>
  </si>
  <si>
    <t>1009-1051-1052</t>
  </si>
  <si>
    <t>ΤΣΙΟΥΜΑ</t>
  </si>
  <si>
    <t>ΑΜ984072</t>
  </si>
  <si>
    <t>816,1</t>
  </si>
  <si>
    <t>1005-1006-1051-1052-1009-1064-1054-1055-1059-1056-1060</t>
  </si>
  <si>
    <t>ΑΕ134764</t>
  </si>
  <si>
    <t>815,8</t>
  </si>
  <si>
    <t>1056-1055-1054-1009-1059-1057-1051-1052-1060-1050-1062-1064-1066</t>
  </si>
  <si>
    <t>Σπαθάρα</t>
  </si>
  <si>
    <t>Μαρία</t>
  </si>
  <si>
    <t>ΑΙ204556</t>
  </si>
  <si>
    <t>1051-1052-1054-1055-1056-1059-1060-1062-1064-1005-1006-1009</t>
  </si>
  <si>
    <t>ΤΣΟΥΛΟΥ</t>
  </si>
  <si>
    <t>ΑΚ518125</t>
  </si>
  <si>
    <t>1052-1051-1055-1009-1060-1066-1064-1059-1056</t>
  </si>
  <si>
    <t>ΜΑΛΑΜΑΣ</t>
  </si>
  <si>
    <t>ΑΚ141384</t>
  </si>
  <si>
    <t>1062-1056-1059-1009-1051-1052-1064-1054-1055-1060-1005</t>
  </si>
  <si>
    <t>ΕΥΑΓΕΛΛΟΣ</t>
  </si>
  <si>
    <t>Χ859694</t>
  </si>
  <si>
    <t>814,7</t>
  </si>
  <si>
    <t>ΚΟΡΑΒΟΥ</t>
  </si>
  <si>
    <t>Τ287150</t>
  </si>
  <si>
    <t>814,3</t>
  </si>
  <si>
    <t>1009-1051-1052-1055-1056-1059-1060-1066-1064</t>
  </si>
  <si>
    <t>ΤΣΙΠΗ</t>
  </si>
  <si>
    <t>ΕΥΑ ΜΑΡΙΑ</t>
  </si>
  <si>
    <t>ΣΟΦΟΚΛΗΣ</t>
  </si>
  <si>
    <t>ΑΕ285259</t>
  </si>
  <si>
    <t>1009-1051-1052-1056-1059-1064-1055-1060</t>
  </si>
  <si>
    <t>ΠΑΠΑΝΤΩΝΗΣ</t>
  </si>
  <si>
    <t>ΑΒ622243</t>
  </si>
  <si>
    <t>813,6</t>
  </si>
  <si>
    <t>1006-1005-1009-1007-1008</t>
  </si>
  <si>
    <t>ΑΓΓΕΛΙΔΟΥ</t>
  </si>
  <si>
    <t>ΑΝ212880</t>
  </si>
  <si>
    <t>813,4</t>
  </si>
  <si>
    <t>1055-1054-1056-1064-1059-1052-1051-1060-1005-1009</t>
  </si>
  <si>
    <t>ΖΑΡΡΑ</t>
  </si>
  <si>
    <t>ΑΗ457814</t>
  </si>
  <si>
    <t>813,2</t>
  </si>
  <si>
    <t>1009-1052-1055-1056-1066-1051-1060-1059-1064</t>
  </si>
  <si>
    <t>ΜΑΤΑΛΙΩΤΑΚΗ</t>
  </si>
  <si>
    <t>ΑΙ968757</t>
  </si>
  <si>
    <t>1009-1008</t>
  </si>
  <si>
    <t>ΤΖΑΜΟΥ</t>
  </si>
  <si>
    <t>Χ960538</t>
  </si>
  <si>
    <t>1051-1052-1054-1055-1009-1056-1059-1060-1064</t>
  </si>
  <si>
    <t>ΚΟΚΟΒΑ</t>
  </si>
  <si>
    <t>ΒΙΟΛΕΤΤΑ</t>
  </si>
  <si>
    <t>ΑΖ262441</t>
  </si>
  <si>
    <t>812,8</t>
  </si>
  <si>
    <t>1009-1005-1006-1054-1055-1064-1052-1060-1059-1051-1056</t>
  </si>
  <si>
    <t>ΚΟΥΜΑΝΤΑΚΗΣ</t>
  </si>
  <si>
    <t>ΑΙ943149</t>
  </si>
  <si>
    <t>812,4</t>
  </si>
  <si>
    <t>1009-1006-1005-1066-1055-1060-1064-1051-1052-1056-1059-1050</t>
  </si>
  <si>
    <t>ΚΥΜΙΝΙΑΔΗ</t>
  </si>
  <si>
    <t>ΧΑΡΑ ΕΛΕΥΘΕΡΙΑ</t>
  </si>
  <si>
    <t>ΑΒ590607</t>
  </si>
  <si>
    <t>811,4</t>
  </si>
  <si>
    <t>ΣΑΡΑΦΗ</t>
  </si>
  <si>
    <t>ΑΖ774286</t>
  </si>
  <si>
    <t>1064-1054-1051-1052-1056-1059-1005-1009</t>
  </si>
  <si>
    <t>ΑΛΑΤΑΣ</t>
  </si>
  <si>
    <t>ΑΕ916890</t>
  </si>
  <si>
    <t>1050-1051-1052-1054-1055-1056-1059-1060-1064-1009</t>
  </si>
  <si>
    <t>ΙΣΑΑΚ</t>
  </si>
  <si>
    <t>ΑΒ433848</t>
  </si>
  <si>
    <t>810,3</t>
  </si>
  <si>
    <t>1059-1064-1056-1054-1055-1051-1052-1050-1062-1009-1060</t>
  </si>
  <si>
    <t>ΑΘΑΝΑΣΟΠΟΥΛΟΥ</t>
  </si>
  <si>
    <t>ΧΑΡΑ</t>
  </si>
  <si>
    <t>ΑΙ229229</t>
  </si>
  <si>
    <t>809,8</t>
  </si>
  <si>
    <t>1049-1051-1052-1054-1055-1006-1007-1008-1009-1047-1048-1050-1053-1056-1057-1058-1059-1060-1061-1062-1063-1064-1065-1066-1067-1068</t>
  </si>
  <si>
    <t>ΛΑΦΑΡΑ</t>
  </si>
  <si>
    <t>Χ845403</t>
  </si>
  <si>
    <t>679,8</t>
  </si>
  <si>
    <t>1054-1064-1059-1056-1066-1052-1051-1009-1060</t>
  </si>
  <si>
    <t>ΠΟΥΛΙΟΣ</t>
  </si>
  <si>
    <t>ΑΑ393493</t>
  </si>
  <si>
    <t>809,3</t>
  </si>
  <si>
    <t>Χ456135</t>
  </si>
  <si>
    <t>808,8</t>
  </si>
  <si>
    <t>1064-1055-1056-1059-1009-1052-1051-1066-1060</t>
  </si>
  <si>
    <t>ΛΟΥΚΟΠΟΥΛΟΥ</t>
  </si>
  <si>
    <t>ΑΙ777013</t>
  </si>
  <si>
    <t>1052-1051-1055-1009-1064-1060-1059-1056</t>
  </si>
  <si>
    <t>ΚΑΡΑΜΟΥΖΗ</t>
  </si>
  <si>
    <t>ΑΗ772641</t>
  </si>
  <si>
    <t>808,4</t>
  </si>
  <si>
    <t>1007-1067-1057-1061-1048-1059-1009-1053-1056-1060-1068-1047-1054-1055-1051-1052-1005-1049</t>
  </si>
  <si>
    <t>ΚΑΚΑΛΟΠΟΥΛΟΥ</t>
  </si>
  <si>
    <t>ΒΑΣΙΛΕΙΟΣ ΣΤΥΛΙΑΝΟΣ</t>
  </si>
  <si>
    <t>ΑΗ168906</t>
  </si>
  <si>
    <t>1054-1055-1064-1056-1059-1066-1009</t>
  </si>
  <si>
    <t>ΠΕΤΡΙΔΗΣ</t>
  </si>
  <si>
    <t>ΑΑ250648</t>
  </si>
  <si>
    <t>808,1</t>
  </si>
  <si>
    <t>1055-1054-1064-1058-1063-1065-1066-1059-1061-1056-1048-1052-1051-1006-1007-1067-1057-1005-1047-1049-1009-1053-1008-1050</t>
  </si>
  <si>
    <t>ΔΗΜΟΥ</t>
  </si>
  <si>
    <t>ΑΜ061082</t>
  </si>
  <si>
    <t>1060-1052-1051-1005-1006-1009-1054-1055-1056-1059-1064-1066-1062-1050</t>
  </si>
  <si>
    <t>ΘΕΟΦΑΝΑΚΗΣ</t>
  </si>
  <si>
    <t>ΑΙ290733</t>
  </si>
  <si>
    <t>807,7</t>
  </si>
  <si>
    <t>1059-1064-1066-1055-1051-1052-1060-1009</t>
  </si>
  <si>
    <t>ΖΑΧΑΡΑΚΗ</t>
  </si>
  <si>
    <t>ΑΒ844573</t>
  </si>
  <si>
    <t>1064-1051-1052-1055-1059-1060-1056-1009-1067-1007-1006-1061-1057-1005</t>
  </si>
  <si>
    <t>ΑΖ278353</t>
  </si>
  <si>
    <t>807,1</t>
  </si>
  <si>
    <t>1052-1051-1060-1055-1064-1056-1066-1009-1059</t>
  </si>
  <si>
    <t>ΜΕΛΙΔΟΥ</t>
  </si>
  <si>
    <t>ΑΕ345327</t>
  </si>
  <si>
    <t>806,6</t>
  </si>
  <si>
    <t>1059-1064-1009-1055-1052-1051-1056-1060-1066</t>
  </si>
  <si>
    <t>ΝΙΚΟΛΟΥΔΑΚΗ</t>
  </si>
  <si>
    <t>ΑΝ462883</t>
  </si>
  <si>
    <t>805,5</t>
  </si>
  <si>
    <t>ΣΠΥΡΟΥ</t>
  </si>
  <si>
    <t>ΝΑΥΣΙΚΑ ΙΩΑΝΝΑ</t>
  </si>
  <si>
    <t>ΑΑ353887</t>
  </si>
  <si>
    <t>805,4</t>
  </si>
  <si>
    <t>1007-1008-1009-1047-1068-1004-1003-1048-1049-1050-1051-1052-1053-1054-1055-1056-1057-1058-1059-1060-1061-1062-1063-1064-1065-1066-1067</t>
  </si>
  <si>
    <t>ΓΕΡΑΚΗ</t>
  </si>
  <si>
    <t>ΑΗ153518</t>
  </si>
  <si>
    <t>684,2</t>
  </si>
  <si>
    <t>804,2</t>
  </si>
  <si>
    <t>1054-1055-1064-1056-1059-1051-1052-1060-1050-1066-1062-1009</t>
  </si>
  <si>
    <t>Μπρουσιάκη</t>
  </si>
  <si>
    <t>Αλεξάνδρα</t>
  </si>
  <si>
    <t>ΕΥΑΓΓΕΛΛΟΣ</t>
  </si>
  <si>
    <t>ΑΒ317201</t>
  </si>
  <si>
    <t>803,8</t>
  </si>
  <si>
    <t>1006-1005-1054-1066-1064-1051-1052-1056-1009-1050</t>
  </si>
  <si>
    <t>ΠΕΤΡΟΥΓΑΚΗ</t>
  </si>
  <si>
    <t>ΑΗ963293</t>
  </si>
  <si>
    <t>803,7</t>
  </si>
  <si>
    <t>1009-1054-1055-1051-1052-1060-1056-1066-1064-1062-1059-1050</t>
  </si>
  <si>
    <t>ΣΤΑΥΡΟΠΟΥΛΟΥ</t>
  </si>
  <si>
    <t>ΑΒ394834</t>
  </si>
  <si>
    <t>1054-1055-1056-1052-1051-1009-1064-1060</t>
  </si>
  <si>
    <t>ΚΑΡΑΚΑΤΣΟΠΟΥΛΟΣ</t>
  </si>
  <si>
    <t>ΑΜ667949</t>
  </si>
  <si>
    <t>1054-1055-1056-1064-1059-1050-1052-1051-1005-1060-1009-1066-1062</t>
  </si>
  <si>
    <t>ΚΑΓΙΟΓΛΟΥ</t>
  </si>
  <si>
    <t>Χ470283</t>
  </si>
  <si>
    <t>802,3</t>
  </si>
  <si>
    <t>ΓΚΡΙΖΙΩΤΗΣ</t>
  </si>
  <si>
    <t>ΑΔΑΜΟΣ</t>
  </si>
  <si>
    <t>ΑΙ100710</t>
  </si>
  <si>
    <t>802,2</t>
  </si>
  <si>
    <t>ΑΒΔΕΛΙΔΗΣ</t>
  </si>
  <si>
    <t>ΑΖ782538</t>
  </si>
  <si>
    <t>800,5</t>
  </si>
  <si>
    <t>1006-1009-1051-1052-1054-1056-1059-1062-1064-1066-1005</t>
  </si>
  <si>
    <t>ΕΥΦΡΟΣΥΝΗ</t>
  </si>
  <si>
    <t>ΑΙ176354</t>
  </si>
  <si>
    <t>1060-1056-1051-1052-1055-1064-1009-1059-1066</t>
  </si>
  <si>
    <t>ΛΙΑΠΠΗ</t>
  </si>
  <si>
    <t>ΑΧΙΛΛΕΙΑ</t>
  </si>
  <si>
    <t>Χ875515</t>
  </si>
  <si>
    <t>1005-1006-1007-1008-1009-1049-1050-1051-1052-1053-1054-1055-1056-1057-1058-1059-1060-1061-1062-1063-1064-1065-1066-1067-1068-1048-1047</t>
  </si>
  <si>
    <t>ΓΚΕΣΟΥΛΗΣ</t>
  </si>
  <si>
    <t>ΑΒ091951</t>
  </si>
  <si>
    <t>Λάβδα Δριμιλή</t>
  </si>
  <si>
    <t>Μαργαρίτα</t>
  </si>
  <si>
    <t>Γεώργιος</t>
  </si>
  <si>
    <t>ΑΜ643730</t>
  </si>
  <si>
    <t>ΠΕΡΙΣΤΕΡΗΣ</t>
  </si>
  <si>
    <t>ΑΚ977552</t>
  </si>
  <si>
    <t>799,3</t>
  </si>
  <si>
    <t>1006-1059-1064-1054-1055-1066-1051-1052-1005-1056-1060-1009-1062-1050</t>
  </si>
  <si>
    <t>ΚΑΡΑΚΩΣΤΑ</t>
  </si>
  <si>
    <t>ΑΕ249719</t>
  </si>
  <si>
    <t>798,1</t>
  </si>
  <si>
    <t>1009-1008-1051-1052-1053-1068</t>
  </si>
  <si>
    <t>ΧΑΡΙΚΛΕΙΑ-ΑΝΑΣΤΑΣΙΑ</t>
  </si>
  <si>
    <t>ΑΗ710316</t>
  </si>
  <si>
    <t>1060-1051-1052-1005-1009-1054-1055-1056-1006-1059-1064</t>
  </si>
  <si>
    <t>ΠΟΥΤΟΓΛΙΔΟΥ</t>
  </si>
  <si>
    <t>ΑΙ324704</t>
  </si>
  <si>
    <t>795,8</t>
  </si>
  <si>
    <t>ΑΡΓΥΡΑΚΗΣ</t>
  </si>
  <si>
    <t>Ρ620551</t>
  </si>
  <si>
    <t>795,6</t>
  </si>
  <si>
    <t>1066-1062-1067-1008-1009-1047-1048-1049-1050-1051-1052-1053-1054-1055-1056-1057-1058-1059-1060-1061-1063-1064-1065-1068</t>
  </si>
  <si>
    <t>ΚΑΤΣΑΙΤΗ</t>
  </si>
  <si>
    <t>ΑΒ071506</t>
  </si>
  <si>
    <t>795,2</t>
  </si>
  <si>
    <t>1009-1054-1060-1055-1059-1056-1066-1064-1051-1052-1062-1050</t>
  </si>
  <si>
    <t>ΜΑΥΡΟΜΑΤΗ</t>
  </si>
  <si>
    <t>ΑΝ427666</t>
  </si>
  <si>
    <t>794,9</t>
  </si>
  <si>
    <t>1050-1054-1055-1056-1006-1064-1060-1051-1052-1009</t>
  </si>
  <si>
    <t>ΑΙ316077</t>
  </si>
  <si>
    <t>794,1</t>
  </si>
  <si>
    <t>1054-1055-1064-1066-1057-1059-1051-1052-1060-1009-1056-1062-1050</t>
  </si>
  <si>
    <t>ΘΥΜΝΙΟΥΔΗ</t>
  </si>
  <si>
    <t>ΑΖ924365</t>
  </si>
  <si>
    <t>793,8</t>
  </si>
  <si>
    <t>1050-1056-1054-1055-1064-1060-1009-1005-1051-1052-1059</t>
  </si>
  <si>
    <t>ΝΙΚΟΛΟΠΟΥΛΟΣ</t>
  </si>
  <si>
    <t>ΑΒ778804</t>
  </si>
  <si>
    <t>793,6</t>
  </si>
  <si>
    <t>1060-1051-1052-1059-1064-1009-1056</t>
  </si>
  <si>
    <t>ΡΟΒΙΘΗ</t>
  </si>
  <si>
    <t>ΑΝ471154</t>
  </si>
  <si>
    <t>792,3</t>
  </si>
  <si>
    <t>ΛΕΟΝΤΙΑΔΗΣ</t>
  </si>
  <si>
    <t>ΑΜ362474</t>
  </si>
  <si>
    <t>791,2</t>
  </si>
  <si>
    <t>1008-1068-1053-1048-1055-1056-1009</t>
  </si>
  <si>
    <t>ΠΡΕΚΕΤΕ</t>
  </si>
  <si>
    <t>ΑΒ618106</t>
  </si>
  <si>
    <t>ΑΛΠΟΣ</t>
  </si>
  <si>
    <t>ΑΒ273134</t>
  </si>
  <si>
    <t>790,8</t>
  </si>
  <si>
    <t>ΜΠΕΚΥΡΗ</t>
  </si>
  <si>
    <t>Φ288429</t>
  </si>
  <si>
    <t>790,5</t>
  </si>
  <si>
    <t>1006-1064-1054-1055-1059-1005-1009</t>
  </si>
  <si>
    <t>ΧΑΤΖΟΥΔΗΣ</t>
  </si>
  <si>
    <t>ΑΕ411680</t>
  </si>
  <si>
    <t>709,5</t>
  </si>
  <si>
    <t>1050-1056-1065-1062-1064-1063-1058-1006-1007-1008-1009-1047-1048-1049-1051-1052-1053-1054-1055-1057-1059-1060-1061-1066-1067-1068-1005</t>
  </si>
  <si>
    <t>ΠΑΠΑΧΡΗΣΤΟΥ</t>
  </si>
  <si>
    <t>ΑΚ378995</t>
  </si>
  <si>
    <t>790,1</t>
  </si>
  <si>
    <t>ΠΑΠΠΑ ΤΖΑΒΙΔΟΥ</t>
  </si>
  <si>
    <t>ΑΖ140407</t>
  </si>
  <si>
    <t>1055-1056-1059-1064-1066-1051-1052-1060-1009</t>
  </si>
  <si>
    <t>ΠΕΝΤΕΔΗΜΟΥ</t>
  </si>
  <si>
    <t>Χ980610</t>
  </si>
  <si>
    <t>789,4</t>
  </si>
  <si>
    <t>1007-1067-1057-1006-1061-1059-1005-1047-1048-1051-1052-1054-1055-1064-1049-1066-1056-1060-1008-1009-1053-1068</t>
  </si>
  <si>
    <t>ΑΜ065967</t>
  </si>
  <si>
    <t>1060-1005-1051-1052-1006-1059-1064-1054-1055-1066-1009-1056-1062-1050</t>
  </si>
  <si>
    <t>ΞΕΝΟΦΩΝΤΑΣ</t>
  </si>
  <si>
    <t>ΑΜ740272</t>
  </si>
  <si>
    <t>ΛΑΖΑΡΙΔΟΥ</t>
  </si>
  <si>
    <t>ΕΥΔΟΚΙΑ</t>
  </si>
  <si>
    <t>ΑΒ855898</t>
  </si>
  <si>
    <t>1054-1055-1059-1009-1052-1051-1056-1060-1064-1062-1050-1068-1053-1007-1048-1047-1067-1008-1049-1057-1058-1061-1063-1065</t>
  </si>
  <si>
    <t>ΤΣΑΓΑΝΟΥ</t>
  </si>
  <si>
    <t>ΑΗ980951</t>
  </si>
  <si>
    <t>1048-1052-1051-1061-1066-1060-1049-1064-1063-1055-1059-1058-1065-1056-1068-1008-1009-1053</t>
  </si>
  <si>
    <t>ΚΟΣΜΙΔΗΣ</t>
  </si>
  <si>
    <t>ΑΗ293725</t>
  </si>
  <si>
    <t>1037-1059-1030-1034-1035-1042-1043-1045-1027-1029-1056-1064-1025-1041-1026-1032-1028-1051-1052-1009-1066-1036</t>
  </si>
  <si>
    <t>ΠΑΠΑΔΑΚΑΚΗ</t>
  </si>
  <si>
    <t>ΑΜ537882</t>
  </si>
  <si>
    <t>788,6</t>
  </si>
  <si>
    <t>ΔΑΡΔΑ</t>
  </si>
  <si>
    <t>Χ893337</t>
  </si>
  <si>
    <t>787,9</t>
  </si>
  <si>
    <t>1009-1051-1056-1059-1064-1055</t>
  </si>
  <si>
    <t>ΧΑΤΖΟΓΛΙΔΟΥ</t>
  </si>
  <si>
    <t>Χ220586</t>
  </si>
  <si>
    <t>787,3</t>
  </si>
  <si>
    <t>1056-1054-1055-1064-1050-1006-1066-1051-1052-1005-1009-1062-1059-1060</t>
  </si>
  <si>
    <t>ΚΑΤΟΥΔΗ</t>
  </si>
  <si>
    <t>Χ408659</t>
  </si>
  <si>
    <t>786,1</t>
  </si>
  <si>
    <t>1006-1057-1067-1064-1054-1056-1053-1059-1005-1051-1052-1009-1060-1050-1062-1065-1068</t>
  </si>
  <si>
    <t>ΛΑΡΔΑΣ</t>
  </si>
  <si>
    <t>ΑΒ937447</t>
  </si>
  <si>
    <t>1051-1052-1054-1055-1056-1059-1064-1005-1006-1009</t>
  </si>
  <si>
    <t>ΠΟΙΚΛΗ</t>
  </si>
  <si>
    <t>Π817204</t>
  </si>
  <si>
    <t>785,7</t>
  </si>
  <si>
    <t>1064-1056-1055-1059-1066-1052-1051-1009</t>
  </si>
  <si>
    <t>Φ264636</t>
  </si>
  <si>
    <t>784,8</t>
  </si>
  <si>
    <t>ΠΑΣΤΡΩΜΑ</t>
  </si>
  <si>
    <t>ΑΕ076295</t>
  </si>
  <si>
    <t>784,2</t>
  </si>
  <si>
    <t>1009-1050-1051-1052-1053-1054-1055-1056-1059-1060-1064-1067</t>
  </si>
  <si>
    <t>ΑΙ227206</t>
  </si>
  <si>
    <t>783,9</t>
  </si>
  <si>
    <t>1007-1008-1009-1047-1048-1049-1051-1052-1053-1054-1055-1056-1057-1058-1059-1060-1061-1062-1063-1064-1065-1066-1067-1068</t>
  </si>
  <si>
    <t>ΜΠΑΤΣΙΛΑ</t>
  </si>
  <si>
    <t>ΑΗ766379</t>
  </si>
  <si>
    <t>783,5</t>
  </si>
  <si>
    <t>1061-1059-1064-1055-1048-1063-1066-1065-1051-1052-1056-1060-1049-1008-1009-1053-1068</t>
  </si>
  <si>
    <t>ΔΗΜΗΤΡΟΠΟΥΛΟΣ</t>
  </si>
  <si>
    <t>ΑΖ715815</t>
  </si>
  <si>
    <t>ΠΑΝΩΡΑ</t>
  </si>
  <si>
    <t>ΑΜ703868</t>
  </si>
  <si>
    <t>1008-1009-1048-1049-1051-1052-1053-1055-1056-1058-1059-1060-1061-1063-1064-1065-1066-1068</t>
  </si>
  <si>
    <t>ΛΕΟΝΤΙΟΣ</t>
  </si>
  <si>
    <t>ΣΠΥΡΟΣ</t>
  </si>
  <si>
    <t>ΑΗ227867</t>
  </si>
  <si>
    <t>783,4</t>
  </si>
  <si>
    <t>ΜΩΡΑΙΤΟΥ</t>
  </si>
  <si>
    <t>ΒΑΣΙΛEIA</t>
  </si>
  <si>
    <t>ΑΑ234800</t>
  </si>
  <si>
    <t>782,8</t>
  </si>
  <si>
    <t>1055-1054-1064-1056-1061-1059-1057-1067-1007-1006-1051-1052-1048-1047-1005-1060-1008-1068-1053-1009-1058-1063-1065</t>
  </si>
  <si>
    <t>ΡΑΔΟΥΝΙΣΛΗ</t>
  </si>
  <si>
    <t>ΑΜ850450</t>
  </si>
  <si>
    <t>1059-1056-1054-1055-1064-1061-1007-1067-1057-1047-1049-1048-1051-1052-1060-1068-1008-1009-1053</t>
  </si>
  <si>
    <t>ΡΑΓΑΖΟΥ</t>
  </si>
  <si>
    <t>ΑΑ975273</t>
  </si>
  <si>
    <t>1056-1064-1051-1009-1060-1059-1054-1055-1005</t>
  </si>
  <si>
    <t>ΑΜ847313</t>
  </si>
  <si>
    <t>782,7</t>
  </si>
  <si>
    <t>1061-1055-1056-1058-1059-1060-1051-1052-1008-1009-1049-1053-1063-1064-1065-1066-1068</t>
  </si>
  <si>
    <t>ΤΣΟΛΙΑΡΙΔΟΥ</t>
  </si>
  <si>
    <t>ΑΗ668251</t>
  </si>
  <si>
    <t>782,4</t>
  </si>
  <si>
    <t>1009-1056-1064-1059-1054-1055-1051-1052-1060-1005</t>
  </si>
  <si>
    <t>ΜΑΡΑΓΚΑΚΗ</t>
  </si>
  <si>
    <t>ΑΜ585640</t>
  </si>
  <si>
    <t>781,6</t>
  </si>
  <si>
    <t>ΓΚΕΚΑ</t>
  </si>
  <si>
    <t>Π520622</t>
  </si>
  <si>
    <t>781,3</t>
  </si>
  <si>
    <t>ΓΑΛΑΝΑΚΟΥ</t>
  </si>
  <si>
    <t>ΑΕ328854</t>
  </si>
  <si>
    <t>651,2</t>
  </si>
  <si>
    <t>781,2</t>
  </si>
  <si>
    <t>ΠΑΠΑΔΟΓΙΑΝΝΗ</t>
  </si>
  <si>
    <t>Χ963405</t>
  </si>
  <si>
    <t>780,4</t>
  </si>
  <si>
    <t>ΠΑΛΑΜΑ</t>
  </si>
  <si>
    <t>ΑΚ964941</t>
  </si>
  <si>
    <t>779,5</t>
  </si>
  <si>
    <t>1005-1006-1009-1051-1052-1055-1056-1059-1060-1064</t>
  </si>
  <si>
    <t>ΜΑΡΑΘΙΑΝΑΚΗ</t>
  </si>
  <si>
    <t>Χ348951</t>
  </si>
  <si>
    <t>779,1</t>
  </si>
  <si>
    <t>ΝΤΟΥΣΙΑΣ</t>
  </si>
  <si>
    <t>Χ790648</t>
  </si>
  <si>
    <t>1060-1052-1051-1009-1056-1059-1064</t>
  </si>
  <si>
    <t>ΑΤΤΙΤΗ</t>
  </si>
  <si>
    <t>ΑΣΗΜΙΝΑ</t>
  </si>
  <si>
    <t>ΑΗ009660</t>
  </si>
  <si>
    <t>1006-1008-1009</t>
  </si>
  <si>
    <t>ΜΑΝΟΥΡΑ</t>
  </si>
  <si>
    <t>ΑΙ942991</t>
  </si>
  <si>
    <t>1009-1008-1006</t>
  </si>
  <si>
    <t>ΠΑΠΑΔΟΜΑΝΩΛΑΚΗ</t>
  </si>
  <si>
    <t>Χ350084</t>
  </si>
  <si>
    <t>778,7</t>
  </si>
  <si>
    <t>ΜΑΝΟΓΙΑΝΝΑΚΗ</t>
  </si>
  <si>
    <t>ΑΒ970285</t>
  </si>
  <si>
    <t>778,4</t>
  </si>
  <si>
    <t>1009-1054</t>
  </si>
  <si>
    <t>ΝΑΚΑΣ</t>
  </si>
  <si>
    <t>ΑΚ333851</t>
  </si>
  <si>
    <t>ΚΑΚΑΣ</t>
  </si>
  <si>
    <t>Χ894117</t>
  </si>
  <si>
    <t>1059-1063-1064-1067-1007-1055-1054-1058-1065-1061-1057-1056-1049-1048-1047-1060-1052-1051-1050-1068-1008-1009-1053-1066-1062</t>
  </si>
  <si>
    <t>ΘΥΜΙΑΔΟΥ</t>
  </si>
  <si>
    <t>ΜΑΘΤΑΙΟΣ</t>
  </si>
  <si>
    <t>ΑΒ129828</t>
  </si>
  <si>
    <t>677,6</t>
  </si>
  <si>
    <t>777,6</t>
  </si>
  <si>
    <t>1056-1006-1005-1007-1009-1008</t>
  </si>
  <si>
    <t>ΜΠΟΓΑΤΙΝΗ</t>
  </si>
  <si>
    <t>ΑΝ411955</t>
  </si>
  <si>
    <t>777,4</t>
  </si>
  <si>
    <t>1056-1054-1055-1064-1059-1051-1052-1060-1009</t>
  </si>
  <si>
    <t>ΓΙΑΝΝΙΟΥ</t>
  </si>
  <si>
    <t>Τ812777</t>
  </si>
  <si>
    <t>777,1</t>
  </si>
  <si>
    <t>1055-1054-1064-1056-1059-1050-1051-1052-1060-1062-1066-1009</t>
  </si>
  <si>
    <t>ΛΑΠΠΑ</t>
  </si>
  <si>
    <t>ΑΗ247944</t>
  </si>
  <si>
    <t>776,9</t>
  </si>
  <si>
    <t>1055-1048-1056-1059-1061-1060-1064-1052-1051-1009-1068-1008-1053</t>
  </si>
  <si>
    <t>ΣΑΚΕΛΛΙΟΥ</t>
  </si>
  <si>
    <t>ΜΑΡΓΑΡΙΤΑ</t>
  </si>
  <si>
    <t>ΑΕ595413</t>
  </si>
  <si>
    <t>776,8</t>
  </si>
  <si>
    <t>1051-1052-1060-1009-1055-1059-1056-1064</t>
  </si>
  <si>
    <t>ΚΑΙΜΑΚΑΜΗ</t>
  </si>
  <si>
    <t>Φ478023</t>
  </si>
  <si>
    <t>775,8</t>
  </si>
  <si>
    <t>1066-1064-1052-1051-1055-1059-1056-1060-1009</t>
  </si>
  <si>
    <t>ΜΑΥΡΗ</t>
  </si>
  <si>
    <t>ΑΕ965784</t>
  </si>
  <si>
    <t>775,4</t>
  </si>
  <si>
    <t>1006-1009-1055-1056-1059-1060-1064-1051-1052</t>
  </si>
  <si>
    <t>ΑΚ468828</t>
  </si>
  <si>
    <t>775,2</t>
  </si>
  <si>
    <t>ΤΣΕΚΟΥΡΑ</t>
  </si>
  <si>
    <t>ΑΖ214281</t>
  </si>
  <si>
    <t>775,1</t>
  </si>
  <si>
    <t>ΒΑΣΙΛΕΙΑΔΗΣ</t>
  </si>
  <si>
    <t>ΑΖ300931</t>
  </si>
  <si>
    <t>774,9</t>
  </si>
  <si>
    <t>1059-1054-1055-1056-1050-1064-1051-1052-1005-1060-1066-1062-1009</t>
  </si>
  <si>
    <t>ΠΟΥΛΗΜΕΝΟΥ</t>
  </si>
  <si>
    <t>ΡΕΓΓΙΝΑ</t>
  </si>
  <si>
    <t>ΑΙ514863</t>
  </si>
  <si>
    <t>774,7</t>
  </si>
  <si>
    <t>1060-1055-1051-1052-1064-1059-1066-1009-1056</t>
  </si>
  <si>
    <t>ΚΙΤΣΑΡΑ</t>
  </si>
  <si>
    <t>Φ431602</t>
  </si>
  <si>
    <t>774,6</t>
  </si>
  <si>
    <t>ΠΑΠΑΔΙΟΝΥΣΙΟΥ</t>
  </si>
  <si>
    <t>ΑΖ711515</t>
  </si>
  <si>
    <t>773,6</t>
  </si>
  <si>
    <t>1051-1055-1066-1064-1059-1009-1056</t>
  </si>
  <si>
    <t>ΒΟΓΓΛΗ</t>
  </si>
  <si>
    <t>Μ872969</t>
  </si>
  <si>
    <t>772,5</t>
  </si>
  <si>
    <t>1007-1006-1005-1008-1009</t>
  </si>
  <si>
    <t>ΜΠΡΟΤΣΗ</t>
  </si>
  <si>
    <t>ΑΜ816922</t>
  </si>
  <si>
    <t>1064-1066-1055-1059-1056-1052-1051-1060-1009</t>
  </si>
  <si>
    <t>ΔΟΣΧΟΡΗ</t>
  </si>
  <si>
    <t>ΣΤΕΦΑΝΙΑ</t>
  </si>
  <si>
    <t>ΑΖ227588</t>
  </si>
  <si>
    <t>771,8</t>
  </si>
  <si>
    <t>1060-1066-1052-1062-1068-1009-1054-1055-1059</t>
  </si>
  <si>
    <t>ΓΡΕΖΗ</t>
  </si>
  <si>
    <t>Χ335402</t>
  </si>
  <si>
    <t>771,4</t>
  </si>
  <si>
    <t>ΔΡΑΚΟΥΛΗ</t>
  </si>
  <si>
    <t>ΕΜΜΑΝΟΥΛ</t>
  </si>
  <si>
    <t>ΑΜ005018</t>
  </si>
  <si>
    <t>1021-1005-1008-1009-1053-1068-1052-1051-1060-1047-1049-1048-1006-1061-1007-1054-1055-1057-1056-1067-1059-1065-1064-1063-1058-1066-1062-1050</t>
  </si>
  <si>
    <t>ΠΛΟΥΜΗΣ</t>
  </si>
  <si>
    <t>ΑΕ936168</t>
  </si>
  <si>
    <t>770,8</t>
  </si>
  <si>
    <t>ΒΑΛΛΑ</t>
  </si>
  <si>
    <t>Ρ976760</t>
  </si>
  <si>
    <t>770,3</t>
  </si>
  <si>
    <t>1064-1055-1059-1060-1052-1051-1056-1009</t>
  </si>
  <si>
    <t>ΓΡΑΜΜΑΤΙΚΗ</t>
  </si>
  <si>
    <t>ΑΡΙΣΤΟΣ</t>
  </si>
  <si>
    <t>ΑΚ038206</t>
  </si>
  <si>
    <t>ΚΑΡΓΟΠΟΥΛΟΥ</t>
  </si>
  <si>
    <t>ΑΚ250397</t>
  </si>
  <si>
    <t>768,8</t>
  </si>
  <si>
    <t>ΓΙΑΚΟΥΒΑΚΗ</t>
  </si>
  <si>
    <t>Χ173562</t>
  </si>
  <si>
    <t>768,5</t>
  </si>
  <si>
    <t>1051-1052-1060-1005-1054-1055-1009-1059-1064-1056</t>
  </si>
  <si>
    <t>ΛΑΦΑΤΖΗ</t>
  </si>
  <si>
    <t>ΑΖ321903</t>
  </si>
  <si>
    <t>1064-1055-1054-1059-1056-1052-1051-1005-1060-1066-1009-1062</t>
  </si>
  <si>
    <t>ΜΠΟΥΡΑΣ</t>
  </si>
  <si>
    <t>ΑΙ661074</t>
  </si>
  <si>
    <t>1051-1052-1005-1067-1047-1048-1060-1066-1057-1049-1061-1007-1054-1055-1056-1058-1059-1062-1063-1064-1065-1008-1009-1068-1053-1050</t>
  </si>
  <si>
    <t>ΤΕΡΖΑΚΗ</t>
  </si>
  <si>
    <t>ΑΙ441935</t>
  </si>
  <si>
    <t>768,3</t>
  </si>
  <si>
    <t>ΒΟΥΤΣΑΚΗ</t>
  </si>
  <si>
    <t>ΝΙΚΗ ΕΙΡΗΝΗ</t>
  </si>
  <si>
    <t>ΑΒ010385</t>
  </si>
  <si>
    <t>768,1</t>
  </si>
  <si>
    <t>1007-1008-1005-1006-1009-1047-1048-1049-1050-1051-1052-1053-1054-1055-1056-1057-1058-1059</t>
  </si>
  <si>
    <t>ΚΥΡΙΑΖΗ</t>
  </si>
  <si>
    <t>ΑΖ240798</t>
  </si>
  <si>
    <t>1054-1055-1059-1064-1056-1060-1051-1052-1009-1005-1066-1050-1062</t>
  </si>
  <si>
    <t>Χ529682</t>
  </si>
  <si>
    <t>ΑΖ790022</t>
  </si>
  <si>
    <t>767,3</t>
  </si>
  <si>
    <t>1009-1052</t>
  </si>
  <si>
    <t>ΚΡΑΝΙΑΣ</t>
  </si>
  <si>
    <t>ΑΒ198551</t>
  </si>
  <si>
    <t>767,2</t>
  </si>
  <si>
    <t>1048-1054-1055-1060-1068-1007-1009</t>
  </si>
  <si>
    <t>ΑΚ281834</t>
  </si>
  <si>
    <t>617,1</t>
  </si>
  <si>
    <t>767,1</t>
  </si>
  <si>
    <t>ΣΤΑΜΑΤΕΡΑΚΗΣ</t>
  </si>
  <si>
    <t>ΑΓΓΕΛΗΣ</t>
  </si>
  <si>
    <t>ΑΒ955372</t>
  </si>
  <si>
    <t>1053-1009-1008-1068-1055-1060-1048-1051-1052-1049-1059-1056-1061-1064-1066-1063-1065-1058</t>
  </si>
  <si>
    <t>ΚΑΡΑΤΖΗ</t>
  </si>
  <si>
    <t>ΑΙ936184</t>
  </si>
  <si>
    <t>ΚΟΤΣΩΝΗΣ</t>
  </si>
  <si>
    <t>ΑΙ817990</t>
  </si>
  <si>
    <t>1052-1055-1009-1066-1060-1056-1059-1064</t>
  </si>
  <si>
    <t>ΜΠΕΚΟΥ</t>
  </si>
  <si>
    <t>ΑΝ487979</t>
  </si>
  <si>
    <t>766,3</t>
  </si>
  <si>
    <t>1052-1051-1005-1060-1006-1054-1055-1056-1059-1064-1050-1009</t>
  </si>
  <si>
    <t>ΜΠΑΛΑΓΟΥΡΑ</t>
  </si>
  <si>
    <t>ΑΕ990820</t>
  </si>
  <si>
    <t>766,1</t>
  </si>
  <si>
    <t>ΓΥΦΤΕΑ</t>
  </si>
  <si>
    <t>ΑΒ791448</t>
  </si>
  <si>
    <t>765,5</t>
  </si>
  <si>
    <t>1060-1009-1066-1059-1064-1056-1051-1052-1055</t>
  </si>
  <si>
    <t>ΛΑΓΟΥΔΑΚΗΣ</t>
  </si>
  <si>
    <t>ΑΗ517802</t>
  </si>
  <si>
    <t>765,2</t>
  </si>
  <si>
    <t>1006-1009-1050-1051-1052-1054-1055-1056-1059-1060-1064</t>
  </si>
  <si>
    <t>ΜΑΚΡΗΣ</t>
  </si>
  <si>
    <t>Φ288190</t>
  </si>
  <si>
    <t>764,8</t>
  </si>
  <si>
    <t>1061-1064-1006-1048-1007-1057-1067-1066-1055-1059-1056-1049-1051-1052-1065-1060-1054-1047-1005-1008-1009-1053-1068</t>
  </si>
  <si>
    <t>ΑΡΒΑΝΙΤΗ</t>
  </si>
  <si>
    <t>ΒΗΣΣΑΡΙΩΝ</t>
  </si>
  <si>
    <t>ΑΖ268385</t>
  </si>
  <si>
    <t>ΜΑΛΑΦΟΥΡΗ</t>
  </si>
  <si>
    <t>ΑΒ099699</t>
  </si>
  <si>
    <t>763,7</t>
  </si>
  <si>
    <t>1054-1055-1068-1008-1009-1053-1066-1061-1056-1047-1049-1060-1067-1007-1064-1051-1052-1048-1057-1059</t>
  </si>
  <si>
    <t>Χ833168</t>
  </si>
  <si>
    <t>1052-1051-1060-1005-1054-1055-1006-1009-1064-1066-1056-1059-1062</t>
  </si>
  <si>
    <t>ΝΤΑΛΑΓΙΑΝΝΗ</t>
  </si>
  <si>
    <t>ΑΙ835651</t>
  </si>
  <si>
    <t>762,8</t>
  </si>
  <si>
    <t>1054-1055-1064-1066-1009-1059-1056-1052-1051-1060-1050-1062</t>
  </si>
  <si>
    <t>ΜΠΟΥΚΑ</t>
  </si>
  <si>
    <t>ΑΕ734567</t>
  </si>
  <si>
    <t>ΜΠΑΤΖΗ</t>
  </si>
  <si>
    <t>ΑΚ223213</t>
  </si>
  <si>
    <t>762,6</t>
  </si>
  <si>
    <t>ΓΚΙΖΑΣ</t>
  </si>
  <si>
    <t>Χ933748</t>
  </si>
  <si>
    <t>761,8</t>
  </si>
  <si>
    <t>1009-1060-1051-1052-1055-1056-1059-1064-1066-1007-1008</t>
  </si>
  <si>
    <t>ΜΗΤΣΟΥ</t>
  </si>
  <si>
    <t>ΑΗ967574</t>
  </si>
  <si>
    <t>761,5</t>
  </si>
  <si>
    <t>1009-1053-1068-1008-1006-1007-1061-1067-1057-1054-1055-1051-1052-1056-1047-1048-1049-1060-1066-1064-1065-1005-1059-1058-1063-1062-1050</t>
  </si>
  <si>
    <t>ΚΑΛΛΙΑΡΙΔΟΥ</t>
  </si>
  <si>
    <t>ΑΕ846229</t>
  </si>
  <si>
    <t>760,4</t>
  </si>
  <si>
    <t>1059-1066-1056-1009-1064-1051-1052</t>
  </si>
  <si>
    <t>ΣΙΝΟΓΛΟΥ</t>
  </si>
  <si>
    <t>ΑΕ116953</t>
  </si>
  <si>
    <t>1060-1051-1052-1055-1009-1056-1064-1059</t>
  </si>
  <si>
    <t>ΚΑΡΑΛΚΑ</t>
  </si>
  <si>
    <t>ΠΑΣΧΑΛΙΑ</t>
  </si>
  <si>
    <t>ΑΒ701585</t>
  </si>
  <si>
    <t>759,7</t>
  </si>
  <si>
    <t>1054-1055-1063-1064-1065-1008-1068-1009-1053-1056-1007-1067-1051-1052-1057-1059-1060-1061-1049-1048-1066-1050-1062</t>
  </si>
  <si>
    <t>ΚΟΥΤΣΙΚΟΥ</t>
  </si>
  <si>
    <t>Χ415443</t>
  </si>
  <si>
    <t>759,3</t>
  </si>
  <si>
    <t>1061-1048-1055-1064-1059-1068-1008-1009-1053-1052-1056-1051-1060</t>
  </si>
  <si>
    <t>ΠΑΠΑΓΙΑΝΝΟΠΟΥΛΟΥ</t>
  </si>
  <si>
    <t>ΕΛΠΙΝΙΚΗ</t>
  </si>
  <si>
    <t>ΑΒ101276</t>
  </si>
  <si>
    <t>758,6</t>
  </si>
  <si>
    <t>1054-1055-1064-1066-1051-1052-1059-1062-1009-1056-1060-1050</t>
  </si>
  <si>
    <t>Ολγα</t>
  </si>
  <si>
    <t>ΑΚ720643</t>
  </si>
  <si>
    <t>ΞΕΝΟΥ</t>
  </si>
  <si>
    <t>ΑΗ285373</t>
  </si>
  <si>
    <t>758,2</t>
  </si>
  <si>
    <t>1064-1052-1051-1059-1056-1009</t>
  </si>
  <si>
    <t>ΠΑΥΛΑΚΗΣ</t>
  </si>
  <si>
    <t>ΑΙ960835</t>
  </si>
  <si>
    <t>757,1</t>
  </si>
  <si>
    <t>ΑΧΙΛΛΕΑΣ</t>
  </si>
  <si>
    <t>ΑΑ402100</t>
  </si>
  <si>
    <t>756,9</t>
  </si>
  <si>
    <t>1005-1006-1009-1051-1052-1054-1055-1056-1059-1060-1062-1064</t>
  </si>
  <si>
    <t>ΤΡΟΜΠΟΥΚΗΣ</t>
  </si>
  <si>
    <t>ΑΝ291791</t>
  </si>
  <si>
    <t>756,2</t>
  </si>
  <si>
    <t>ΚΕΚΙΔΟΥ</t>
  </si>
  <si>
    <t>ΑΖ686442</t>
  </si>
  <si>
    <t>1055-1009-1051-1052-1066-1064-1059-1056-1060</t>
  </si>
  <si>
    <t>ΜΠΟΤΟΣ</t>
  </si>
  <si>
    <t>ΑΒ094772</t>
  </si>
  <si>
    <t>1055-1054-1060-1009-1051-1052-1005-1056-1059-1066-1064-1062-1050-1007-1047-1048-1053-1008-1049-1058-1065-1068-1067-1061-1063-1057-1098-1080-1090-1070-1093-1095</t>
  </si>
  <si>
    <t>ΝΗΣΕΛΙΤΗΣ</t>
  </si>
  <si>
    <t>ΑΑ410129</t>
  </si>
  <si>
    <t>ΣΤΡΑΝΤΖΙΑΣ</t>
  </si>
  <si>
    <t>ΑΗ396939</t>
  </si>
  <si>
    <t>755,3</t>
  </si>
  <si>
    <t>1056-1051-1052-1059-1064-1066-1055-1054-1060-1005-1009-1050-1062-1007-1065-1067-1057-1048-1047-1063-1068-1053-1061-1058-1049-1008</t>
  </si>
  <si>
    <t>ΠΟΓΚΑΣ</t>
  </si>
  <si>
    <t>Ρ019788</t>
  </si>
  <si>
    <t>755,2</t>
  </si>
  <si>
    <t>ΣΩΤΗΡΗΣ</t>
  </si>
  <si>
    <t>ΑΝ406193</t>
  </si>
  <si>
    <t>754,9</t>
  </si>
  <si>
    <t>ΚΑΛΑΙΤΖΙΔΟΥ</t>
  </si>
  <si>
    <t>Χ238553</t>
  </si>
  <si>
    <t>753,8</t>
  </si>
  <si>
    <t>1055-1056-1059-1009-1051-1052-1064-1060-1066</t>
  </si>
  <si>
    <t>ΡΟΜΠΑ</t>
  </si>
  <si>
    <t>AΘΑΝΑΣΙΑ-ΧΡΙΣΤΟΦΟΡΙΑ</t>
  </si>
  <si>
    <t>ΑΚ889735</t>
  </si>
  <si>
    <t>1055-1064-1009-1056-1059</t>
  </si>
  <si>
    <t>ΜΠΟΥΡΝΕΛΗ</t>
  </si>
  <si>
    <t>ΑΖ465015</t>
  </si>
  <si>
    <t>ΜΑΚΡΗ</t>
  </si>
  <si>
    <t>ΑΓΝΗ</t>
  </si>
  <si>
    <t>Φ236680</t>
  </si>
  <si>
    <t>753,2</t>
  </si>
  <si>
    <t>1052-1051-1060-1066-1056-1009-1054-1055-1064-1059-1050</t>
  </si>
  <si>
    <t>Σ982603</t>
  </si>
  <si>
    <t>753,1</t>
  </si>
  <si>
    <t>ΓΑΒΡΙΤΟΠΟΥΛΟΣ</t>
  </si>
  <si>
    <t>Χ422418</t>
  </si>
  <si>
    <t>1055-1054-1059-1056-1009-1064-1005-1051-1052-1060</t>
  </si>
  <si>
    <t>ΔΗΜΤΣΑ</t>
  </si>
  <si>
    <t>ΑΕ817991</t>
  </si>
  <si>
    <t>1054-1055-1064-1063-1065-1058-1059-1056-1007-1067-1057-1061-1048-1005-1047-1051-1052-1049-1008-1068-1009-1053-1050-1062-1066-1060</t>
  </si>
  <si>
    <t>ΚΑΚΑΜΠΟΥΚΗ</t>
  </si>
  <si>
    <t>ΑΕ728863</t>
  </si>
  <si>
    <t>1055-1060-1009-1051-1052-1005-1064-1006-1056-1059-1054</t>
  </si>
  <si>
    <t>Ρ277447</t>
  </si>
  <si>
    <t>752,7</t>
  </si>
  <si>
    <t>1009-1051-1052-1055-1060-1061</t>
  </si>
  <si>
    <t>ΚΟΙΝΗ</t>
  </si>
  <si>
    <t>ΑΜ818511</t>
  </si>
  <si>
    <t>1064-1055-1054-1056-1059-1060-1052-1051-1005-1009</t>
  </si>
  <si>
    <t>ΟΡΦΑΝΙΔΟΥ</t>
  </si>
  <si>
    <t>Π771270</t>
  </si>
  <si>
    <t>751,6</t>
  </si>
  <si>
    <t>1008-1009-1047-1048-1049-1051-1052-1053-1055-1056-1059-1060-1061-1064-1068</t>
  </si>
  <si>
    <t>ΜΠΙΝΙΑ</t>
  </si>
  <si>
    <t>ΑΚ253962</t>
  </si>
  <si>
    <t>1055-1009-1051-1052-1056-1064-1059-1060</t>
  </si>
  <si>
    <t>ΚΟΥΚΟΣΙΑ</t>
  </si>
  <si>
    <t>ΑΖ287259</t>
  </si>
  <si>
    <t>1055-1009-1064-1056-1066</t>
  </si>
  <si>
    <t>Χ456905</t>
  </si>
  <si>
    <t>750,8</t>
  </si>
  <si>
    <t>1064-1065-1056-1059-1051-1052-1055-1060-1009</t>
  </si>
  <si>
    <t>ΣΑΡΑΦΑ</t>
  </si>
  <si>
    <t>ΑΙ735130</t>
  </si>
  <si>
    <t>750,5</t>
  </si>
  <si>
    <t>1055-1059-1065-1063-1056-1052-1051-1008-1064-1060-1066-1009-1053</t>
  </si>
  <si>
    <t>ΤΣΟΛΑΚΗΣ</t>
  </si>
  <si>
    <t>ΑΒ105114</t>
  </si>
  <si>
    <t>ΠΡΑΓΙΑ</t>
  </si>
  <si>
    <t>ΑΒ495892</t>
  </si>
  <si>
    <t>ΛΑΜΠΟΥΡΑ</t>
  </si>
  <si>
    <t>ΚΛΕΟΠΑΤΡΑ</t>
  </si>
  <si>
    <t>ΑΗ254677</t>
  </si>
  <si>
    <t>ΜΙΖΑΡΗ</t>
  </si>
  <si>
    <t>Χ183843</t>
  </si>
  <si>
    <t>749,8</t>
  </si>
  <si>
    <t>ΛΕΩΝΙΔΗΣ</t>
  </si>
  <si>
    <t>ΑΜ281427</t>
  </si>
  <si>
    <t>749,3</t>
  </si>
  <si>
    <t>1064-1063-1056-1059-1004-1051-1052-1066-1009</t>
  </si>
  <si>
    <t>ΓΕΩΡΓΑΛΗΣ</t>
  </si>
  <si>
    <t>ΑΖ770037</t>
  </si>
  <si>
    <t>748,6</t>
  </si>
  <si>
    <t>1009-1059-1066-1056-1051-1052</t>
  </si>
  <si>
    <t>Χ854112</t>
  </si>
  <si>
    <t>748,3</t>
  </si>
  <si>
    <t>ΦΛΩΡΟΥ</t>
  </si>
  <si>
    <t>ΑΕ874679</t>
  </si>
  <si>
    <t>1064-1055-1056-1059-1051-1052-1060-1009</t>
  </si>
  <si>
    <t>ΤΖΙΒΑΡΑ</t>
  </si>
  <si>
    <t>ΑΝ484648</t>
  </si>
  <si>
    <t>1052-1051-1056-1009-1064</t>
  </si>
  <si>
    <t>ΤΡΙΑΝΤΑΦΥΛΛΙΔΗ</t>
  </si>
  <si>
    <t>ΑΝ259787</t>
  </si>
  <si>
    <t>747,6</t>
  </si>
  <si>
    <t>1049-1054-1055-1059-1052-1053-1060-1068-1066-1008-1009-1048</t>
  </si>
  <si>
    <t>ΑΗ417860</t>
  </si>
  <si>
    <t>747,4</t>
  </si>
  <si>
    <t>1005-1006-1007-1008-1009-1054-1055</t>
  </si>
  <si>
    <t>ΠΑΠΑΔΗΜΑΣ</t>
  </si>
  <si>
    <t>ΑΕ801075</t>
  </si>
  <si>
    <t>747,2</t>
  </si>
  <si>
    <t>1059-1064-1056-1051-1052-1066-1055-1009</t>
  </si>
  <si>
    <t>ΑΙ800535</t>
  </si>
  <si>
    <t>676,5</t>
  </si>
  <si>
    <t>746,5</t>
  </si>
  <si>
    <t>1060-1052-1051-1047-1009-1053-1068-1008-1048-1061-1049-1057-1059-1064-1067-1007-1056-1054-1055</t>
  </si>
  <si>
    <t>ΔΑΛΑΓΕΩΡΓΟΣ</t>
  </si>
  <si>
    <t>ΑΒ857831</t>
  </si>
  <si>
    <t>1059-1063-1064-1007-1067-1061-1055-1054-1056-1057-1065-1058-1049-1060-1051-1052-1047-1048-1066-1009-1068-1008-1050-1053-1062</t>
  </si>
  <si>
    <t>ΚΑΡΑΓΕΩΡΓΟΣ</t>
  </si>
  <si>
    <t>Σ667980</t>
  </si>
  <si>
    <t>1005-1060-1052-1051-1055-1054-1064-1006-1057-1056-1066-1068-1009-1059-1062</t>
  </si>
  <si>
    <t>ΑΕ831286</t>
  </si>
  <si>
    <t>746,4</t>
  </si>
  <si>
    <t>1055-1059-1064-1056-1052-1051-1066-1060-1009</t>
  </si>
  <si>
    <t>ΠΟΥΦΤΑΣ</t>
  </si>
  <si>
    <t>Φ493390</t>
  </si>
  <si>
    <t>745,2</t>
  </si>
  <si>
    <t>ΡΕΤΣΙΝΑ</t>
  </si>
  <si>
    <t>Χ731484</t>
  </si>
  <si>
    <t>743,9</t>
  </si>
  <si>
    <t>1009-1051-1052-1056-1059-1060-1064-1066</t>
  </si>
  <si>
    <t>ΜΑΝΤΖΙΟΣ</t>
  </si>
  <si>
    <t>ΑΒ088492</t>
  </si>
  <si>
    <t>743,7</t>
  </si>
  <si>
    <t>1050-1051-1052-1054-1055-1056-1059-1060-1062-1064-1066-1009</t>
  </si>
  <si>
    <t>ΤΣΑΤΣΟΥ</t>
  </si>
  <si>
    <t>ΤΗΛΕΜΑΧΟΣ</t>
  </si>
  <si>
    <t>Ν172896</t>
  </si>
  <si>
    <t>743,2</t>
  </si>
  <si>
    <t>1051-1052-1060-1054-1055-1009-1006-1005-1066-1062-1056-1059-1064</t>
  </si>
  <si>
    <t>ΣΑΛΑΜΠΑΣΗ</t>
  </si>
  <si>
    <t>ΑΒ169373</t>
  </si>
  <si>
    <t>743,1</t>
  </si>
  <si>
    <t>1007-1009-1047-1048-1050-1051-1052-1053-1054-1055-1056-1057-1058-1059-1060-1061-1062-1063-1064-1065-1066-1067-1068</t>
  </si>
  <si>
    <t>ΦΡΑΓΚΙΑΔΑΚΗ</t>
  </si>
  <si>
    <t>ΑΑ372434</t>
  </si>
  <si>
    <t>1009-1053-1068</t>
  </si>
  <si>
    <t>ΘΩΜΟΣ</t>
  </si>
  <si>
    <t>ΑΖ266976</t>
  </si>
  <si>
    <t>742,8</t>
  </si>
  <si>
    <t>ΒΕΚΚΟΥ</t>
  </si>
  <si>
    <t>ΖΑΧΑΡΟΥΛΑ</t>
  </si>
  <si>
    <t>ΑΜ 575403</t>
  </si>
  <si>
    <t>1051-1052-1009-1059-1064-1056-1066</t>
  </si>
  <si>
    <t>ΤΣΙΑϊΡΗΣ</t>
  </si>
  <si>
    <t xml:space="preserve">ΑΘΑΝΑΣΙΟΣ </t>
  </si>
  <si>
    <t>ΑΗ787126</t>
  </si>
  <si>
    <t>710,6</t>
  </si>
  <si>
    <t>740,6</t>
  </si>
  <si>
    <t>1059-1064-1056-1066-1052-1051-1009</t>
  </si>
  <si>
    <t>ΝΗΣΙΩΤΗΣ</t>
  </si>
  <si>
    <t>ΑΕ 929835</t>
  </si>
  <si>
    <t>739,8</t>
  </si>
  <si>
    <t>ΧΑΤΖΗΙΩΑΝΝΙΔΟΥ</t>
  </si>
  <si>
    <t>ΒΑΛΕΝΤΙΝΑ</t>
  </si>
  <si>
    <t>ΑΗ786804</t>
  </si>
  <si>
    <t>739,7</t>
  </si>
  <si>
    <t>1054-1055-1064-1059-1056-1051-1050-1052-1005-1009-1062-1066</t>
  </si>
  <si>
    <t>ΚΥΡΚΟΣ</t>
  </si>
  <si>
    <t>ΤΡΑΙΑΝΟΣ</t>
  </si>
  <si>
    <t>ΑΖ304237</t>
  </si>
  <si>
    <t>739,5</t>
  </si>
  <si>
    <t>ΗΛΙΑΔΗΣ</t>
  </si>
  <si>
    <t>ΑΚ936749</t>
  </si>
  <si>
    <t>738,8</t>
  </si>
  <si>
    <t>1055-1054-1066-1064-1056-1052-1051-1059-1060-1006-1005-1009</t>
  </si>
  <si>
    <t>ΒΟΥΓΑΝΗ</t>
  </si>
  <si>
    <t>ΑΚ390000</t>
  </si>
  <si>
    <t>738,6</t>
  </si>
  <si>
    <t>1054-1055-1061-1047-1060-1056-1049-1051-1052-1066-1008-1068-1009-1053-1062-1063-1064-1059-1058-1048-1065-1007-1057-1067-1050</t>
  </si>
  <si>
    <t>ΤΣΑΜΠΑ</t>
  </si>
  <si>
    <t>ΜΗΧΑΗΛ</t>
  </si>
  <si>
    <t>ΑΗ161935</t>
  </si>
  <si>
    <t>738,4</t>
  </si>
  <si>
    <t>1008-1009-1048-1049-1050-1051-1052-1053-1059-1055-1061-1063-1064-1065-1066-1068</t>
  </si>
  <si>
    <t>ΑΖ961701</t>
  </si>
  <si>
    <t>737,5</t>
  </si>
  <si>
    <t>ΖΑΧΑΡΟΠΟΥΛΟΥ</t>
  </si>
  <si>
    <t>ΧΡΙΣΤΙΑΝΑ</t>
  </si>
  <si>
    <t>ΑΒ076239</t>
  </si>
  <si>
    <t>736,5</t>
  </si>
  <si>
    <t>ΤΣΙΛΙΟΥ</t>
  </si>
  <si>
    <t>Τ486810</t>
  </si>
  <si>
    <t>736,2</t>
  </si>
  <si>
    <t>1055-1058-1065-1064-1063-1056-1061-1052-1068-1008-1053-1009-1059-1048-1060-1049-1051-1007-1057-1066</t>
  </si>
  <si>
    <t>ΡΟΔΙΟΣ</t>
  </si>
  <si>
    <t>ΑΖ504784</t>
  </si>
  <si>
    <t>735,5</t>
  </si>
  <si>
    <t>1060-1005-1051-1052-1054-1055-1006-1009</t>
  </si>
  <si>
    <t>ΜΠΑΚΑΛΑΚΟΣ</t>
  </si>
  <si>
    <t>Χ377314</t>
  </si>
  <si>
    <t>735,1</t>
  </si>
  <si>
    <t>1055-1064-1059-1052-1051-1056-1060-1009</t>
  </si>
  <si>
    <t>ΨΑΡΟΛΟΓΑΚΗΣ</t>
  </si>
  <si>
    <t>ΑΕ962140</t>
  </si>
  <si>
    <t>734,2</t>
  </si>
  <si>
    <t>ΜΠΡΕΝΤΑΣ</t>
  </si>
  <si>
    <t>ΑΜ376023</t>
  </si>
  <si>
    <t>1009-1056-1051-1052-1064-1059</t>
  </si>
  <si>
    <t>ΧΗΤΑ</t>
  </si>
  <si>
    <t>ΑΖ246858</t>
  </si>
  <si>
    <t>1064-1056-1052-1009-1059-1051</t>
  </si>
  <si>
    <t>ΦΑΙΤΑΚΗΣ</t>
  </si>
  <si>
    <t>ΑΗ459093</t>
  </si>
  <si>
    <t>733,3</t>
  </si>
  <si>
    <t>ΣΩΤΗΡΟΠΟΥΛΟΣ</t>
  </si>
  <si>
    <t>ΑΜ311828</t>
  </si>
  <si>
    <t>ΒΕΡΓΕΤΑΚΗ</t>
  </si>
  <si>
    <t>Χ357599</t>
  </si>
  <si>
    <t>732,9</t>
  </si>
  <si>
    <t>ΚΩΤΟΥΛΑ</t>
  </si>
  <si>
    <t>ΑΒ428386</t>
  </si>
  <si>
    <t>732,2</t>
  </si>
  <si>
    <t>1055-1067-1007-1057-1054-1061-1064-1048-1052-1059-1051-1056-1049-1047-1060-1009-1008-1068-1053</t>
  </si>
  <si>
    <t>ΠΑΠΑΚΩΝΣΤΑΝΤΙΝΟΥ</t>
  </si>
  <si>
    <t>Χ224960</t>
  </si>
  <si>
    <t>731,8</t>
  </si>
  <si>
    <t>ΜΠΙΘΑ</t>
  </si>
  <si>
    <t>ΑΜ630013</t>
  </si>
  <si>
    <t>730,7</t>
  </si>
  <si>
    <t>ΚΩΣΤΟΥΛΑΚΗΣ</t>
  </si>
  <si>
    <t>ΕΥΤΥΧΙΟΣ</t>
  </si>
  <si>
    <t>Ξ942267</t>
  </si>
  <si>
    <t>729,6</t>
  </si>
  <si>
    <t>ΔΗΜΟΒΕΛΗ</t>
  </si>
  <si>
    <t>ΑΜ370967</t>
  </si>
  <si>
    <t>1066-1064-1052-1051-1056-1059-1009</t>
  </si>
  <si>
    <t>Φ275474</t>
  </si>
  <si>
    <t>1059-1064-1056-1052-1051-1009</t>
  </si>
  <si>
    <t>ΣΥΡΙΓΩΝΑΚΗ</t>
  </si>
  <si>
    <t>ΑΒ962799</t>
  </si>
  <si>
    <t>ΑΕ234891</t>
  </si>
  <si>
    <t>728,8</t>
  </si>
  <si>
    <t>1009-1066-1060-1055-1056-1052-1051-1059-1064</t>
  </si>
  <si>
    <t>ΞΗΡΟΣ</t>
  </si>
  <si>
    <t>Χ511837</t>
  </si>
  <si>
    <t>728,7</t>
  </si>
  <si>
    <t>1008-1068-1009-1053-1060-1049</t>
  </si>
  <si>
    <t>ΜΑΝΘΟΠΟΥΛΟΣ</t>
  </si>
  <si>
    <t>ΑΑ461623</t>
  </si>
  <si>
    <t>728,5</t>
  </si>
  <si>
    <t>1064-1055-1051-1052-1056-1059-1060-1009-1066</t>
  </si>
  <si>
    <t>ΑΑ366858</t>
  </si>
  <si>
    <t>1009-1008-1007</t>
  </si>
  <si>
    <t>ΖΑΛΑΩΡΑ</t>
  </si>
  <si>
    <t>ΑΕ724871</t>
  </si>
  <si>
    <t>727,7</t>
  </si>
  <si>
    <t>1048-1047-1061-1007-1067-1057-1060-1054-1055-1052-1051-1056-1008-1068-1009-1053-1049-1066-1062-1064-1063-1065-1059-1058-1050</t>
  </si>
  <si>
    <t>ΜΑΡΘΑ</t>
  </si>
  <si>
    <t>ΚΥΡΟΣ</t>
  </si>
  <si>
    <t>ΑΙ702252</t>
  </si>
  <si>
    <t>727,4</t>
  </si>
  <si>
    <t>ΣΤΑΘΗΣ</t>
  </si>
  <si>
    <t>ΕΥΡΙΠΙΔΗΣ</t>
  </si>
  <si>
    <t>ΑΑ303041</t>
  </si>
  <si>
    <t>726,3</t>
  </si>
  <si>
    <t>1055-1009-1051-1056-1059-1060-1064</t>
  </si>
  <si>
    <t>ΜΑΝΔΕΛΕΝΗΣ</t>
  </si>
  <si>
    <t xml:space="preserve">ΖΑΧΑΡΙΑΣ </t>
  </si>
  <si>
    <t>ΑΖ963757</t>
  </si>
  <si>
    <t>ΝΤΑΟΥΤΗΣ</t>
  </si>
  <si>
    <t>ΑΙ834811</t>
  </si>
  <si>
    <t>1064-1059-1066-1051-1009-1052</t>
  </si>
  <si>
    <t>ΓΑΛΑΝΗΣ</t>
  </si>
  <si>
    <t>ΑΗ761807</t>
  </si>
  <si>
    <t>725,6</t>
  </si>
  <si>
    <t>1064-1055-1054-1056-1059-1066-1005-1052-1051-1050-1060-1009-1062</t>
  </si>
  <si>
    <t>ΧΑΡΑΛΑΜΠΙΔΟΥ</t>
  </si>
  <si>
    <t>ΜΥΡΟΦΟΡΑ</t>
  </si>
  <si>
    <t>ΑΒ442743</t>
  </si>
  <si>
    <t>725,5</t>
  </si>
  <si>
    <t>1063-1054-1055-1064-1056-1058-1059-1061-1067-1066-1068-1057-1062-1065-1009-1007-1008-1006-1005</t>
  </si>
  <si>
    <t>ΜΙΧΑ</t>
  </si>
  <si>
    <t>ΕΙΡΗΝΗ ΧΡΙΣΤΙΝΑ</t>
  </si>
  <si>
    <t>ΛΕΙΘ ΙΩΣΗΦ</t>
  </si>
  <si>
    <t>ΑΝ272783</t>
  </si>
  <si>
    <t>724,6</t>
  </si>
  <si>
    <t>1060-1051-1052-1005-1009-1055-1056-1054-1064-1059-1066-1063</t>
  </si>
  <si>
    <t>ΚΡΟΥΠΑΣ</t>
  </si>
  <si>
    <t>ΑΖ666340</t>
  </si>
  <si>
    <t>724,4</t>
  </si>
  <si>
    <t>1054-1063-1064-1059-1065-1056-1048-1066-1052-1051-1068-1008-1053-1009-1060-1049</t>
  </si>
  <si>
    <t>ΜΑΛΑΔΑΚΗ</t>
  </si>
  <si>
    <t>ΑΕ352652</t>
  </si>
  <si>
    <t>724,3</t>
  </si>
  <si>
    <t>1009-1050-1051-1052-1054-1055-1056-1059-1060-1062-1063-1064-1066</t>
  </si>
  <si>
    <t>ΔΕΡΜΕΝΤΖΗΣ</t>
  </si>
  <si>
    <t>ΑΕ890806</t>
  </si>
  <si>
    <t>724,1</t>
  </si>
  <si>
    <t>1056-1065-1055-1064-1059-1058-1063-1061-1052-1051-1049-1048-1060-1066-1068-1008-1053-1009-1047</t>
  </si>
  <si>
    <t>ΤΣΙΠΛΑΚΗ</t>
  </si>
  <si>
    <t>ΑΝ186227</t>
  </si>
  <si>
    <t>1009-1053-1066-1052-1051-1060-1059-1064-1056-1055</t>
  </si>
  <si>
    <t>ΑΖ782112</t>
  </si>
  <si>
    <t>ΑΙ797061</t>
  </si>
  <si>
    <t>1060-1052-1051-1056-1009-1059-1064-1066</t>
  </si>
  <si>
    <t>ΣΜΑΡΝΑΚΗΣ</t>
  </si>
  <si>
    <t>Σ398060</t>
  </si>
  <si>
    <t>ΤΣΑΓΓΑΡΗΣ</t>
  </si>
  <si>
    <t>ΑΙ784129</t>
  </si>
  <si>
    <t>ΖΙΑΝΟΣ</t>
  </si>
  <si>
    <t>ΑΡΗΣ</t>
  </si>
  <si>
    <t>ΑΒ111726</t>
  </si>
  <si>
    <t>1066-1064-1059-1051-1052-1056-1009</t>
  </si>
  <si>
    <t>ΠΑΝΑΓΙΩΤΙΔΗΣ</t>
  </si>
  <si>
    <t>ΑΚ447791</t>
  </si>
  <si>
    <t>722,3</t>
  </si>
  <si>
    <t>1058-1063-1054-1068-1053-1055-1056-1065-1064-1059-1009-1067-1066-1051-1052-1060-1007-1057-1047-1048-1049-1050-1062-1008-1061</t>
  </si>
  <si>
    <t>ΑΛΙΒΑΝΟΓΛΟΥ</t>
  </si>
  <si>
    <t>ΑΚ430415</t>
  </si>
  <si>
    <t>721,9</t>
  </si>
  <si>
    <t>1009-1051-1052-1055-1056-1059-1064-1066</t>
  </si>
  <si>
    <t>ΜΠΛΙΑΓΚΑΣ</t>
  </si>
  <si>
    <t>Χ438649</t>
  </si>
  <si>
    <t>661,1</t>
  </si>
  <si>
    <t>721,1</t>
  </si>
  <si>
    <t>1056-1055-1064-1052-1048-1059-1051-1061-1060-1049-1068-1008-1053-1009-1058-1065-1063-1066-1062</t>
  </si>
  <si>
    <t>ΚΟΝΤΑΡΗΣ</t>
  </si>
  <si>
    <t>ΑΗ753066</t>
  </si>
  <si>
    <t>720,8</t>
  </si>
  <si>
    <t>1005-1006-1007-1004-1008-1009</t>
  </si>
  <si>
    <t>ΔΗΜΗΤΡΑΝΤΖΟΥ</t>
  </si>
  <si>
    <t>ΑΑ978786</t>
  </si>
  <si>
    <t>1055-1048-1008-1009-1053-1054-1068</t>
  </si>
  <si>
    <t>ΨΑΡΡΟΥ</t>
  </si>
  <si>
    <t>ΔΑΝΑΗ ΒΑΣΙΛΕΙΑ</t>
  </si>
  <si>
    <t>ΑΖ960423</t>
  </si>
  <si>
    <t>ΕΛΕΥΘΕΡΙΑΔΗΣ</t>
  </si>
  <si>
    <t>ΑΗ333209</t>
  </si>
  <si>
    <t>720,1</t>
  </si>
  <si>
    <t>1055-1064-1054-1059-1006-1056-1051-1052-1005-1060-1009</t>
  </si>
  <si>
    <t>ΚΟΛΛΙΑΣ</t>
  </si>
  <si>
    <t>ΑΜ245769</t>
  </si>
  <si>
    <t>1052-1051-1005-1060-1054-1055-1064-1009-1056-1059-1062-1050</t>
  </si>
  <si>
    <t>ΣΟΥΚΑΝΤΟΥ</t>
  </si>
  <si>
    <t>Χ372197</t>
  </si>
  <si>
    <t>719,7</t>
  </si>
  <si>
    <t>ΤΣΟΥΛΙΑΣ</t>
  </si>
  <si>
    <t>ΑΖ268658</t>
  </si>
  <si>
    <t>718,6</t>
  </si>
  <si>
    <t>ΑΜ883656</t>
  </si>
  <si>
    <t>ΝΑΤΣΗΣ</t>
  </si>
  <si>
    <t>ΑΖ245704</t>
  </si>
  <si>
    <t>ΣΑΜΑΡΙΤΑΚΗΣ</t>
  </si>
  <si>
    <t>Χ346949</t>
  </si>
  <si>
    <t>717,5</t>
  </si>
  <si>
    <t>1009-1055-1060-1052-1056-1064-1059-1066</t>
  </si>
  <si>
    <t>ΜΠΛΕΥΡΑΚΗ</t>
  </si>
  <si>
    <t>ΑΖ467223</t>
  </si>
  <si>
    <t>716,7</t>
  </si>
  <si>
    <t>ΤΣΙΑΓΙΑ</t>
  </si>
  <si>
    <t>ΑΚ980167</t>
  </si>
  <si>
    <t>716,4</t>
  </si>
  <si>
    <t>ΚΑΔΟΓΛΟΥ</t>
  </si>
  <si>
    <t>ΑΕ791332</t>
  </si>
  <si>
    <t>1061-1048-1065-1064-1063-1066-1059-1055-1056-1060-1051-1052-1049-1053-1008-1009-1068</t>
  </si>
  <si>
    <t>ΑΠΟΣΤΟΛΙΔΟΥ</t>
  </si>
  <si>
    <t>ΑΝ467377</t>
  </si>
  <si>
    <t>1009-1055-1052-1064-1062-1066-1065</t>
  </si>
  <si>
    <t>ΞΑΝΘΙΠΠΗ</t>
  </si>
  <si>
    <t>Χ950637</t>
  </si>
  <si>
    <t>ΑΒ434727</t>
  </si>
  <si>
    <t>ΑΗ850850</t>
  </si>
  <si>
    <t>715,6</t>
  </si>
  <si>
    <t>1055-1056-1064-1059-1009-1051-1052-1060</t>
  </si>
  <si>
    <t>ΜΠΟΥΚΟΥ</t>
  </si>
  <si>
    <t>Σ778917</t>
  </si>
  <si>
    <t>715,3</t>
  </si>
  <si>
    <t>ΑΒ385619</t>
  </si>
  <si>
    <t>ΤΣΑΛΑΜΙΔΑ</t>
  </si>
  <si>
    <t>ΑΕ230244</t>
  </si>
  <si>
    <t>714,2</t>
  </si>
  <si>
    <t>1060-1051-1052-1056-1055-1059-1064-1066-1009</t>
  </si>
  <si>
    <t>ΓΙΩΤΑΣ</t>
  </si>
  <si>
    <t>ΑΕ129669</t>
  </si>
  <si>
    <t>713,6</t>
  </si>
  <si>
    <t>1009-1064-1051-1052-1066-1054-1055-1056-1059-1060-1062</t>
  </si>
  <si>
    <t>ΠΑΤΑΡΙΔΟΥ</t>
  </si>
  <si>
    <t>ΑΜ875590</t>
  </si>
  <si>
    <t>713,1</t>
  </si>
  <si>
    <t>1064-1055-1056-1059-1060-1051-1052-1009</t>
  </si>
  <si>
    <t>ΑΠΟΣΤΟΛΟΥ</t>
  </si>
  <si>
    <t>ΑΖ981026</t>
  </si>
  <si>
    <t>712,4</t>
  </si>
  <si>
    <t>1048-1005-1053-1067-1068-1057-1007-1008-1009</t>
  </si>
  <si>
    <t>ΣΙΣΙΟΥ</t>
  </si>
  <si>
    <t>ΑΖ793456</t>
  </si>
  <si>
    <t>1059-1064-1055-1056-1006-1051-1052-1060-1005-1009-1066</t>
  </si>
  <si>
    <t>ΡΑΚΟΒΙΤΗΣ</t>
  </si>
  <si>
    <t>Ρ977768</t>
  </si>
  <si>
    <t>680,9</t>
  </si>
  <si>
    <t>710,9</t>
  </si>
  <si>
    <t>1052-1051-1055-1056-1060-1064-1066-1059-1009</t>
  </si>
  <si>
    <t>ΑΜ499044</t>
  </si>
  <si>
    <t>630,3</t>
  </si>
  <si>
    <t>710,3</t>
  </si>
  <si>
    <t>1052-1051-1005-1047-1048-1061-1067-1064-1054-1055-1056-1057-1058-1059-1060-1050-1049-1065-1063-1007-1066-1008-1009-1053-1068-1062</t>
  </si>
  <si>
    <t>ΒΕΛΗΣΣΑΡΗ</t>
  </si>
  <si>
    <t>ΑΕ263450</t>
  </si>
  <si>
    <t>ΚΟΥΤΣΟΔΟΝΤΗ</t>
  </si>
  <si>
    <t>ΑΕ309952</t>
  </si>
  <si>
    <t>709,8</t>
  </si>
  <si>
    <t>1008-1009-1053-1055-1068</t>
  </si>
  <si>
    <t>Χ398643</t>
  </si>
  <si>
    <t>ΓΙΑΡΜΑΤΣΙΔΗ</t>
  </si>
  <si>
    <t>ΑΒ987016</t>
  </si>
  <si>
    <t>609,4</t>
  </si>
  <si>
    <t>709,4</t>
  </si>
  <si>
    <t>ΘΩΜΑΙΔΗ</t>
  </si>
  <si>
    <t>ΑΚ477944</t>
  </si>
  <si>
    <t>708,7</t>
  </si>
  <si>
    <t>1009-1053-1008-1068-1054-1055-1007-1061-1067-1047-1048-1049-1051-1052-1056-1058-1059-1060-1063-1064</t>
  </si>
  <si>
    <t>ΚΑΛΟΧΕΡΗΣ</t>
  </si>
  <si>
    <t>ΑΚ392871</t>
  </si>
  <si>
    <t>1049-1057-1007-1067-1059-1053-1048-1006-1061-1055-1063-1058-1064-1054-1065-1051-1052-1005-1047-1060-1056-1009-1068-1008-1050-1066-1062</t>
  </si>
  <si>
    <t>ΙΑΚΩΒΟΥ</t>
  </si>
  <si>
    <t>ΑΖ609221</t>
  </si>
  <si>
    <t>ΑΔΡΑΚΤΑ</t>
  </si>
  <si>
    <t xml:space="preserve">ΜΑΡΙΑ </t>
  </si>
  <si>
    <t>ΚΩΣΤΑΝΤΙΝΟΣ</t>
  </si>
  <si>
    <t>ΑΗ232106</t>
  </si>
  <si>
    <t>707,8</t>
  </si>
  <si>
    <t>ΜΑΡΑΝΗ</t>
  </si>
  <si>
    <t>ΑΦΕΝΤΙΑ</t>
  </si>
  <si>
    <t>ΑΕ790777</t>
  </si>
  <si>
    <t>707,6</t>
  </si>
  <si>
    <t>1064-1055-1066-1052-1056-1059-1051-1060-1009</t>
  </si>
  <si>
    <t>ΓΡΗΓΟΡΙΟΥ</t>
  </si>
  <si>
    <t>ΑΚ414799</t>
  </si>
  <si>
    <t>1007-1067-1006-1005-1057-1061-1066-1064-1052-1051-1049-1060-1047-1048-1054-1055-1063-1059-1058-1065-1056-1050-1062-1008-1009-1068-1053</t>
  </si>
  <si>
    <t>ΑΒ482025</t>
  </si>
  <si>
    <t>706,9</t>
  </si>
  <si>
    <t>ΑΙ657391</t>
  </si>
  <si>
    <t>706,5</t>
  </si>
  <si>
    <t>ΤΣΙΧΛΗ</t>
  </si>
  <si>
    <t>ΑΕ746460</t>
  </si>
  <si>
    <t>1060-1055-1056-1059-1009</t>
  </si>
  <si>
    <t>ΚΑΡΑΒΕΛΑΚΗ</t>
  </si>
  <si>
    <t>ΕΛΒΙΡΑ</t>
  </si>
  <si>
    <t>ΑΝ527419</t>
  </si>
  <si>
    <t>705,8</t>
  </si>
  <si>
    <t>1009-1051-1052-1060</t>
  </si>
  <si>
    <t>ΑΕ250306</t>
  </si>
  <si>
    <t>705,7</t>
  </si>
  <si>
    <t>1051-1052-1056-1059-1064-1066-1009</t>
  </si>
  <si>
    <t>ΓΡΑΜΜΑΤΙΑ</t>
  </si>
  <si>
    <t>Ρ347592</t>
  </si>
  <si>
    <t>705,6</t>
  </si>
  <si>
    <t>1064-1005-1054-1055-1066-1056-1060-1051-1052-1009-1059-1062</t>
  </si>
  <si>
    <t>ΔΕΛΗΓΙΑΝΝΗΣ</t>
  </si>
  <si>
    <t>Τ311973</t>
  </si>
  <si>
    <t>1060-1067-1007-1009-1008-1053-1068</t>
  </si>
  <si>
    <t>ΚΑΡΒΟΥΝΙΔΟΥ</t>
  </si>
  <si>
    <t>ΑΑ408191</t>
  </si>
  <si>
    <t>705,4</t>
  </si>
  <si>
    <t>1064-1056-1066-1060-1059-1052-1051-1009-1006</t>
  </si>
  <si>
    <t>Χ775813</t>
  </si>
  <si>
    <t>1049-1048-1051-1052-1053-1056-1059-1064-1068-1009-1008</t>
  </si>
  <si>
    <t>ΒΑΡΝΑΒΑΣ</t>
  </si>
  <si>
    <t>ΑΚ605248</t>
  </si>
  <si>
    <t>704,7</t>
  </si>
  <si>
    <t>ΕΛΕΝΗ-ΚΩΝΣΤΑΝΤΙΝΑ</t>
  </si>
  <si>
    <t>ΑΙ944733</t>
  </si>
  <si>
    <t>654,5</t>
  </si>
  <si>
    <t>704,5</t>
  </si>
  <si>
    <t>Ρ371671</t>
  </si>
  <si>
    <t>704,3</t>
  </si>
  <si>
    <t>1060-1052-1051-1048-1049-1055-1061-1059-1056-1053-1008-1009-1063-1064-1065-1066-1068</t>
  </si>
  <si>
    <t>ΚΑΚΙΡΔΑΚΗΣ</t>
  </si>
  <si>
    <t>Χ341947</t>
  </si>
  <si>
    <t>1009-1051-1052-1055-1056-1059-1060</t>
  </si>
  <si>
    <t>ΠΛΑΤΑΝΙΑΣ</t>
  </si>
  <si>
    <t>ΑΡΙΣΤΟΒΟΥΛΟΣ</t>
  </si>
  <si>
    <t>ΑΖ721508</t>
  </si>
  <si>
    <t>1009-1051-1052-1060-1055-1056-1059-1064-1066</t>
  </si>
  <si>
    <t>ΓΑΛΑΝΟΠΟΥΛΟΣ</t>
  </si>
  <si>
    <t>ΑΗ402357</t>
  </si>
  <si>
    <t>703,6</t>
  </si>
  <si>
    <t>1054-1006-1056-1055-1064-1051-1009-1052-1060-1059-1066-1050-1062-1005</t>
  </si>
  <si>
    <t>ΤΣΑΚΛΗΣ</t>
  </si>
  <si>
    <t>ΑΖ989493</t>
  </si>
  <si>
    <t>703,2</t>
  </si>
  <si>
    <t>1052-1051-1008-1068-1009-1053-1056-1064-1060-1048-1059-1047-1006</t>
  </si>
  <si>
    <t>ΒΛΑΣΤΟΥ</t>
  </si>
  <si>
    <t>ΑΒ108184</t>
  </si>
  <si>
    <t>702,1</t>
  </si>
  <si>
    <t>1055-1052-1051-1009-1060-1064-1059-1056</t>
  </si>
  <si>
    <t>ΤΡΙΚΟΙΛΙΔΟΥ</t>
  </si>
  <si>
    <t>ΑΑ870370</t>
  </si>
  <si>
    <t>ΚΟΥΛΟΥΡΑ</t>
  </si>
  <si>
    <t>AΘΗΝΑ</t>
  </si>
  <si>
    <t>ΑΕ253121</t>
  </si>
  <si>
    <t>701,2</t>
  </si>
  <si>
    <t>1007-1008-1009-1049-1050-1051-1052-1053-1054-1055-1056-1057-1058-1059-1060-1061-1062-1063-1064-1065</t>
  </si>
  <si>
    <t>ΤΣΑΝΤΟΥΚΛΑ</t>
  </si>
  <si>
    <t>ΑΕ023030</t>
  </si>
  <si>
    <t>1008-1009-1053-1068-1055-1056-1048-1049-1051-1052-1060-1061-1058-1059-1063-1064-1065-1066-1062</t>
  </si>
  <si>
    <t>ΑΙ074240</t>
  </si>
  <si>
    <t>1060-1051-1052-1009-1064-1055-1056-1059</t>
  </si>
  <si>
    <t>ΛΑΜΠΡΙΝΟΥΔΑΚΗ</t>
  </si>
  <si>
    <t>ΑΛΙΚΗ</t>
  </si>
  <si>
    <t>ΑΕ137927</t>
  </si>
  <si>
    <t>700,3</t>
  </si>
  <si>
    <t>ΜΠΑΡΜΠΑΤΗ</t>
  </si>
  <si>
    <t>ΛΥΔΙΑ</t>
  </si>
  <si>
    <t>ΑΜ831692</t>
  </si>
  <si>
    <t>1009-1051-1056</t>
  </si>
  <si>
    <t>ΓΑΖΑΝΑΚΗΣ</t>
  </si>
  <si>
    <t>ΑΒ959894</t>
  </si>
  <si>
    <t>699,9</t>
  </si>
  <si>
    <t>Τ337188</t>
  </si>
  <si>
    <t>698,8</t>
  </si>
  <si>
    <t>1059-1056-1055-1064-1051-1052-1009</t>
  </si>
  <si>
    <t>ΑΡΑΙΛΟΥΔΗ</t>
  </si>
  <si>
    <t>ΑΚ301212</t>
  </si>
  <si>
    <t>1059-1055-1056-1066-1064-1052-1009-1053-1060</t>
  </si>
  <si>
    <t>ΚΡΗΤΣΩΤΑΚΗΣ</t>
  </si>
  <si>
    <t>ΑΒ957887</t>
  </si>
  <si>
    <t>ΚΟΥΚΟΥΛΗ</t>
  </si>
  <si>
    <t>ΑΕ977390</t>
  </si>
  <si>
    <t>1009-1051-1052-1055-1056-1059-1060-1064-1066-1005-1006</t>
  </si>
  <si>
    <t>ΜΠΛΟΓΓΟΥΡΑΣ</t>
  </si>
  <si>
    <t>ΑΗ761201</t>
  </si>
  <si>
    <t>625,9</t>
  </si>
  <si>
    <t>695,9</t>
  </si>
  <si>
    <t>1064-1054-1055-1059-1056-1005-1009</t>
  </si>
  <si>
    <t>ΑΒ432577</t>
  </si>
  <si>
    <t>694,8</t>
  </si>
  <si>
    <t>1057-1054-1055-1052-1051-1064-1060-1059-1056-1009</t>
  </si>
  <si>
    <t>ΛΥΜΠΕΡΑΚΗ</t>
  </si>
  <si>
    <t>Φ263886</t>
  </si>
  <si>
    <t>692,2</t>
  </si>
  <si>
    <t>1056-1055-1064-1059-1066-1051-1052-1060-1009</t>
  </si>
  <si>
    <t>ΝΙΚΟΛΑΟΥ</t>
  </si>
  <si>
    <t>ΑΖ786885</t>
  </si>
  <si>
    <t>631,4</t>
  </si>
  <si>
    <t>691,4</t>
  </si>
  <si>
    <t>ΜΑΜΑΤΑ</t>
  </si>
  <si>
    <t>ΑΜ443378</t>
  </si>
  <si>
    <t>620,4</t>
  </si>
  <si>
    <t>690,4</t>
  </si>
  <si>
    <t>1005-1009-1050-1051-1052-1054-1055-1056-1059-1060-1062-1064-1066</t>
  </si>
  <si>
    <t>ΛΑΚΜΕΤΑΣ</t>
  </si>
  <si>
    <t>ΑΜ738017</t>
  </si>
  <si>
    <t>ΣΤΑΜΟΥΛΗ</t>
  </si>
  <si>
    <t>ΜΕΡΣΙΝΗ</t>
  </si>
  <si>
    <t>ΑΕ006412</t>
  </si>
  <si>
    <t>ΛΙΑΓΚΑΣ</t>
  </si>
  <si>
    <t>ΑΗ814899</t>
  </si>
  <si>
    <t>ΜΟΣΧΟΥ</t>
  </si>
  <si>
    <t>ΑΗ980099</t>
  </si>
  <si>
    <t>1009-1060-1052-1051-1048</t>
  </si>
  <si>
    <t>ΒΟΥΡΑ</t>
  </si>
  <si>
    <t>ΕΥΘΑΛΙΑ</t>
  </si>
  <si>
    <t>ΑΜ871172</t>
  </si>
  <si>
    <t>687,8</t>
  </si>
  <si>
    <t>1064-1055-1059-1056-1009-1052-1051-1066-1060</t>
  </si>
  <si>
    <t>ΤΣΟΜΠΑΝΙΔΗΣ</t>
  </si>
  <si>
    <t>ΑΗ905018</t>
  </si>
  <si>
    <t>685,6</t>
  </si>
  <si>
    <t>1052-1051-1056-1064-1059-1055-1060-1009</t>
  </si>
  <si>
    <t>ΓΙΩΤΗΣ</t>
  </si>
  <si>
    <t>ΑΚ386482</t>
  </si>
  <si>
    <t>1052-1051-1056-1059-1064-1060-1055-1009</t>
  </si>
  <si>
    <t>ΧΑΡΙΖΑΝΗ</t>
  </si>
  <si>
    <t>ΑΒ895569</t>
  </si>
  <si>
    <t>1064-1056-1054-1055-1051-1052-1007-1059-1060-1005-1006-1008-1009</t>
  </si>
  <si>
    <t>ΚΟΥΣΕΡΗ</t>
  </si>
  <si>
    <t>ΑΙ487284</t>
  </si>
  <si>
    <t>684,5</t>
  </si>
  <si>
    <t>1054-1055-1056-1057-1058-1059-1060-1061-1062-1063-1064-1065-1066-1067-1068-1047-1051-1052-1048-1049-1007-1008-1009</t>
  </si>
  <si>
    <t>ΑΒ134255</t>
  </si>
  <si>
    <t>1056-1055-1064-1059-1052-1051-1060-1009</t>
  </si>
  <si>
    <t>ΤΟΥΛΙΑ</t>
  </si>
  <si>
    <t>ΑΖ784893</t>
  </si>
  <si>
    <t>1055-1064-1056-1051-1052-1059-1060-1009</t>
  </si>
  <si>
    <t>ΝΤΟΝΑ</t>
  </si>
  <si>
    <t>ΑΖ762543</t>
  </si>
  <si>
    <t>ΓΡΗΓΟΡΙΑΔΗ</t>
  </si>
  <si>
    <t>ΑΖ776381</t>
  </si>
  <si>
    <t>1009-1064-1056-1051-1066-1059-1052</t>
  </si>
  <si>
    <t>ΚΑΡΑΓΙΑΝΝΙΔΗ</t>
  </si>
  <si>
    <t>ΟΔΥΣΣΕΑΣ</t>
  </si>
  <si>
    <t>ΑΚ743754</t>
  </si>
  <si>
    <t>683,7</t>
  </si>
  <si>
    <t>Χ410358</t>
  </si>
  <si>
    <t>683,6</t>
  </si>
  <si>
    <t>1055-1054-1056-1064-1051-1059-1060-1009-1005</t>
  </si>
  <si>
    <t>ΑΖ782993</t>
  </si>
  <si>
    <t>1064-1051-1052-1059-1055-1056-1009</t>
  </si>
  <si>
    <t>ΣΙΔΗΡΟΠΟΥΛΟΥ</t>
  </si>
  <si>
    <t>Χ878094</t>
  </si>
  <si>
    <t>681,2</t>
  </si>
  <si>
    <t>ΙΤΣΚΟΣ</t>
  </si>
  <si>
    <t>ΑΖ290558</t>
  </si>
  <si>
    <t>1059-1064-1055-1056-1009-1008-1051-1052-1066-1060</t>
  </si>
  <si>
    <t>ΜΑΜΑΚΟΣ</t>
  </si>
  <si>
    <t>ΑΕ932360</t>
  </si>
  <si>
    <t>1055-1056-1051-1052-1060-1064-1009-1059-1066</t>
  </si>
  <si>
    <t>ΔΕΛΛΑΣ</t>
  </si>
  <si>
    <t>ΑΚ402601</t>
  </si>
  <si>
    <t>680,1</t>
  </si>
  <si>
    <t>1064-1059-1056-1066-1051-1052-1009</t>
  </si>
  <si>
    <t>ΣΒΟΛΑΚΗΣ</t>
  </si>
  <si>
    <t>ΑΚ063633</t>
  </si>
  <si>
    <t>ΜΟΥΣΤΑΚΑ</t>
  </si>
  <si>
    <t>ΑΒ421535</t>
  </si>
  <si>
    <t>679,3</t>
  </si>
  <si>
    <t>ΚΑΝΤΙΔΑΚΗΣ</t>
  </si>
  <si>
    <t>Χ352383</t>
  </si>
  <si>
    <t>1053-1009-1068-1008-1007-1048-1049-1051-1052-1055-1056-1059-1060-1061-1064</t>
  </si>
  <si>
    <t>ΕΥΘΥΜΙΟΥ</t>
  </si>
  <si>
    <t>ΧΑΙΔΗ</t>
  </si>
  <si>
    <t>Σ457718</t>
  </si>
  <si>
    <t>677,9</t>
  </si>
  <si>
    <t>1059-1064-1055-1056-1052-1051-1060-1009-1063-1066-1054-1062-1050-1005</t>
  </si>
  <si>
    <t>ΤΖΙΜΟΥΛΗ</t>
  </si>
  <si>
    <t>ΑΗ974232</t>
  </si>
  <si>
    <t>676,8</t>
  </si>
  <si>
    <t>1068-1008-1053-1009-1061-1057-1064-1048-1051-1052-1066-1049-1055-1056-1059-1060-1063-1065-1058</t>
  </si>
  <si>
    <t>ΛΑΔΑΚΗ</t>
  </si>
  <si>
    <t>Ρ343560</t>
  </si>
  <si>
    <t>675,7</t>
  </si>
  <si>
    <t>1056-1064-1059-1052-1060-1051-1009</t>
  </si>
  <si>
    <t>ΜΠΑΜΠΑΛΙΟΥΤΑ</t>
  </si>
  <si>
    <t>ΜΑΡΙΑ ΙΩΑΝΝΑ</t>
  </si>
  <si>
    <t>ΑΗ480327</t>
  </si>
  <si>
    <t>674,6</t>
  </si>
  <si>
    <t>1051-1052-1066-1009-1050-1055-1056-1059-1060-1064</t>
  </si>
  <si>
    <t>ΓΚΑΝΤΟΥΝΑΣ</t>
  </si>
  <si>
    <t>ΑΙ283101</t>
  </si>
  <si>
    <t>1059-1064-1051-1052-1056-1060-1009-1066</t>
  </si>
  <si>
    <t>ΖΑΡΜΑΚΟΥΠΗ</t>
  </si>
  <si>
    <t>ΑΖ610900</t>
  </si>
  <si>
    <t>643,5</t>
  </si>
  <si>
    <t>673,5</t>
  </si>
  <si>
    <t>1009-1051-1056-1059-1064</t>
  </si>
  <si>
    <t>ΓΕΡΟΝΤΖΟΥ</t>
  </si>
  <si>
    <t>ΚΑΝΕΛΛΑ</t>
  </si>
  <si>
    <t>ΑΚ216653</t>
  </si>
  <si>
    <t>621,5</t>
  </si>
  <si>
    <t>671,5</t>
  </si>
  <si>
    <t>1052-1051-1054-1055-1068-1008-1060-1056-1009-1053-1067-1007-1061-1006-1064-1059-1049-1048-1047-1005</t>
  </si>
  <si>
    <t>ΛΕΠΕΝΙΩΤΗΣ</t>
  </si>
  <si>
    <t>Χ977191</t>
  </si>
  <si>
    <t>671,3</t>
  </si>
  <si>
    <t>1008-1009-1048-1049-1051-1052-1053-1055-1056-1059-1060-1061-1063-1064-1065-1066-1068</t>
  </si>
  <si>
    <t>ΖΑΦΕΙΡΙΔΟΥ</t>
  </si>
  <si>
    <t>ΑΖ793080</t>
  </si>
  <si>
    <t>1007-1008-1009-1049-1050-1051-1052-1053-1054-1055-1056-1057-1058-1059-1060-1061-1062-1063-1064-1065-1066-1067-1068-1005-1006</t>
  </si>
  <si>
    <t>ΠΑΠΟΥΤΣΟΠΟΥΛΟΣ</t>
  </si>
  <si>
    <t>ΑΙ478378</t>
  </si>
  <si>
    <t>669,1</t>
  </si>
  <si>
    <t>ΤΣΙΑΜΑΝΤΑΣ</t>
  </si>
  <si>
    <t>ΟΡΕΣΤΗΣ</t>
  </si>
  <si>
    <t>Ρ854560</t>
  </si>
  <si>
    <t>1006-1007-1009-1050-1051-1052-1054-1055-1056-1059-1060-1064-1068</t>
  </si>
  <si>
    <t>ΑΣΑΡΙΩΤΑΚΗΣ</t>
  </si>
  <si>
    <t>Χ851786</t>
  </si>
  <si>
    <t>607,2</t>
  </si>
  <si>
    <t>667,2</t>
  </si>
  <si>
    <t>ΤΣΙΓΚΑΡΙΔΑ</t>
  </si>
  <si>
    <t>ΑΛΕΞΑΝΔΡΑ ΑΛΕΚΑ</t>
  </si>
  <si>
    <t>Ρ464813</t>
  </si>
  <si>
    <t>666,9</t>
  </si>
  <si>
    <t>1067-1051-1052-1066-1059-1064-1060-1056-1055-1009</t>
  </si>
  <si>
    <t>ΜΥΣΙΡΛΑΚΗΣ</t>
  </si>
  <si>
    <t>ΜΥΡΩΝ</t>
  </si>
  <si>
    <t>Χ667008</t>
  </si>
  <si>
    <t>1052-1051-1009-1053-1068</t>
  </si>
  <si>
    <t>ΜΠΑΚΡΑΤΣΑΣ</t>
  </si>
  <si>
    <t>ΑΖ267037</t>
  </si>
  <si>
    <t>665,8</t>
  </si>
  <si>
    <t>1064-1059-1055-1052-1051-1056-1060-1009-1066</t>
  </si>
  <si>
    <t>ΚΑΤΣΑΝΕΒΑΚΗ</t>
  </si>
  <si>
    <t>ΑΙ460897</t>
  </si>
  <si>
    <t>663,6</t>
  </si>
  <si>
    <t>1068-1008-1009-1053</t>
  </si>
  <si>
    <t>ΓΚΟΓΚΟΣ</t>
  </si>
  <si>
    <t>ΑΙ332554</t>
  </si>
  <si>
    <t>632,5</t>
  </si>
  <si>
    <t>662,5</t>
  </si>
  <si>
    <t>1049-1007-1006-1005-1008-1009-1050-1047-1048-1051-1052-1053-1054-1055-1056-1057-1058-1059-1060-1061-1062-1063-1064-1065-1066-1067-1068</t>
  </si>
  <si>
    <t>ΑΖ858042</t>
  </si>
  <si>
    <t>ΘΕΟΔΩΡΙΔΗΣ</t>
  </si>
  <si>
    <t>ΑΝ229167</t>
  </si>
  <si>
    <t>661,4</t>
  </si>
  <si>
    <t>1064-1059-1056-1009-1066-1051-1052</t>
  </si>
  <si>
    <t>ΣΚΙΑΔΑ</t>
  </si>
  <si>
    <t>Χ003297</t>
  </si>
  <si>
    <t>659,6</t>
  </si>
  <si>
    <t>1007-1009-1047-1068</t>
  </si>
  <si>
    <t>ΑΓΓΕΛΟΠΟΥΛΟΣ</t>
  </si>
  <si>
    <t>ΕΥΓΕΝΙΟΣ</t>
  </si>
  <si>
    <t>ΑΕ255723</t>
  </si>
  <si>
    <t>1052-1051-1056-1009-1059-1066</t>
  </si>
  <si>
    <t>ΝΤΟΥΒΡΑΣ</t>
  </si>
  <si>
    <t>ΑΝ372588</t>
  </si>
  <si>
    <t>655,9</t>
  </si>
  <si>
    <t>1055-1059-1064-1060-1056-1009-1051-1052-1066</t>
  </si>
  <si>
    <t>ΚΑΖΑΝΤΖΙΔΗΣ</t>
  </si>
  <si>
    <t>ΑΝ696006</t>
  </si>
  <si>
    <t>1054-1055-1009-1059-1064-1056-1051-1052-1050-1066-1062-1060</t>
  </si>
  <si>
    <t>ΤΣΑΡΟΥΧΗ</t>
  </si>
  <si>
    <t>ΑΕ333279</t>
  </si>
  <si>
    <t>654,8</t>
  </si>
  <si>
    <t>1059-1055-1064-1009-1051-1052-1056-1060-1066</t>
  </si>
  <si>
    <t>ΦΑΒΒΑΣ</t>
  </si>
  <si>
    <t>Ξ623853</t>
  </si>
  <si>
    <t>651,5</t>
  </si>
  <si>
    <t>1051-1052-1060-1064-1059-1055-1066-1056-1053-1009</t>
  </si>
  <si>
    <t>ΣΙΩΚΗΣ</t>
  </si>
  <si>
    <t>Ρ348904</t>
  </si>
  <si>
    <t>1057-1006-1007-1008-1009-1049-1051-1052-1053-1055-1056-1059-1064-1066</t>
  </si>
  <si>
    <t>ΔΟΥΡΟΣ</t>
  </si>
  <si>
    <t>ΑΖ001124</t>
  </si>
  <si>
    <t>1049-1060-1052-1051-1048-1066-1009-1053-1068-1059-1056</t>
  </si>
  <si>
    <t>ΤΣΙΛΙΚΟΥΝΑΣ</t>
  </si>
  <si>
    <t>Φ236123</t>
  </si>
  <si>
    <t>639,4</t>
  </si>
  <si>
    <t>1051-1052-1047-1048-1060-1055-1056-1049-1061-1064-1059-1068-1009-1053-1008-1066-1065-1058-1063</t>
  </si>
  <si>
    <t>ΚΑΝΙΟΥΡΑ</t>
  </si>
  <si>
    <t>ΑΜ811346</t>
  </si>
  <si>
    <t>1006-1009-1051-1052-1055-1056-1059-1060-1064-1066</t>
  </si>
  <si>
    <t>ΤΡΙΚΟΥΠΗ</t>
  </si>
  <si>
    <t>ΑΙ400029</t>
  </si>
  <si>
    <t>601,7</t>
  </si>
  <si>
    <t>631,7</t>
  </si>
  <si>
    <t>1055-1056-1009-1066-1051-1052-1059-1060-1064</t>
  </si>
  <si>
    <t>ΣΤΑΥΡΟΥ</t>
  </si>
  <si>
    <t>ΑΗ290319</t>
  </si>
  <si>
    <t>596,2</t>
  </si>
  <si>
    <t>626,2</t>
  </si>
  <si>
    <t>1059-1007-1008-1009-1047-1048-1049-1050-1051-1052-1053-1054-1055-1056-1058-1060-1061-1062-1063-1064-1065-1066-1067-1068</t>
  </si>
  <si>
    <t>ΔΑΟΥΛΑΣ</t>
  </si>
  <si>
    <t>ΑΕ850320</t>
  </si>
  <si>
    <t>1055-1059-1063-1064-1054-1061-1067-1006-1007-1056-1057-1047-1048-1049-1051-1052-1053-1068-1060-1008-1009</t>
  </si>
  <si>
    <t>ΑΙ739589</t>
  </si>
  <si>
    <t>616,3</t>
  </si>
  <si>
    <t>1055-1056-1064-1061-1059-1057-1067-1048-1049-1051-1052-1008-1009-1060-1068-1053</t>
  </si>
  <si>
    <t>ΜΗΤΡΟΝΑΤΣΙΟΣ</t>
  </si>
  <si>
    <t>ΑΒ850292</t>
  </si>
  <si>
    <t>1066-1064-1059-1060-1051-1052-1056-1055-1009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</si>
  <si>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</si>
  <si>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</si>
  <si>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</si>
  <si>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</si>
  <si>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</si>
  <si>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</si>
  <si>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</si>
  <si>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</si>
  <si>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</si>
  <si>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</si>
  <si>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</si>
  <si>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</si>
  <si>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</si>
  <si>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</si>
  <si>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</si>
  <si>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</si>
  <si>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</si>
  <si>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18:ΑΝΑΤΡΟΦΗ ΣΕ ΒΡΕΦΟΚΟΜΕΙΟ/ΟΡΦΑΝΟΤΡΟΦΕΙΟ</t>
  </si>
  <si>
    <t>19:ΑΡΙΘΜΟΣ ΜΗΝΩΝ ΕΙΔΙΚΗΣ ΕΜΠΕΙΡΙΑΣ</t>
  </si>
  <si>
    <t>20:ΜΟΝΑΔΕΣ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</si>
</sst>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70"/>
  <sheetViews>
    <sheetView tabSelected="1" workbookViewId="0"/>
  </sheetViews>
  <sheetFormatPr defaultRowHeight="15" x14ac:dyDescent="0.25"/>
  <sheetData>
    <row r="1" spans="1:28" x14ac:dyDescent="0.25">
      <c r="A1" t="s">
        <v>0</v>
      </c>
    </row>
    <row r="2" spans="1:28" x14ac:dyDescent="0.25">
      <c r="A2" t="s">
        <v>1</v>
      </c>
    </row>
    <row r="3" spans="1:28" x14ac:dyDescent="0.25">
      <c r="A3" t="s">
        <v>2</v>
      </c>
    </row>
    <row r="4" spans="1:28" x14ac:dyDescent="0.25">
      <c r="A4" t="s">
        <v>3</v>
      </c>
    </row>
    <row r="5" spans="1:28" x14ac:dyDescent="0.25">
      <c r="A5" t="s">
        <v>4</v>
      </c>
    </row>
    <row r="7" spans="1:28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 t="s">
        <v>12</v>
      </c>
    </row>
    <row r="8" spans="1:28" x14ac:dyDescent="0.25">
      <c r="A8">
        <v>1</v>
      </c>
      <c r="B8">
        <v>2384</v>
      </c>
      <c r="C8" t="s">
        <v>13</v>
      </c>
      <c r="D8" t="s">
        <v>14</v>
      </c>
      <c r="E8" t="s">
        <v>15</v>
      </c>
      <c r="F8" t="s">
        <v>16</v>
      </c>
      <c r="G8" t="str">
        <f>"201304002708"</f>
        <v>201304002708</v>
      </c>
      <c r="H8">
        <v>902</v>
      </c>
      <c r="I8">
        <v>150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0</v>
      </c>
      <c r="Z8">
        <v>24</v>
      </c>
      <c r="AA8">
        <v>408</v>
      </c>
      <c r="AB8">
        <v>2180</v>
      </c>
    </row>
    <row r="9" spans="1:28" x14ac:dyDescent="0.25">
      <c r="H9" t="s">
        <v>17</v>
      </c>
    </row>
    <row r="10" spans="1:28" x14ac:dyDescent="0.25">
      <c r="A10">
        <v>2</v>
      </c>
      <c r="B10">
        <v>1875</v>
      </c>
      <c r="C10" t="s">
        <v>18</v>
      </c>
      <c r="D10" t="s">
        <v>19</v>
      </c>
      <c r="E10" t="s">
        <v>20</v>
      </c>
      <c r="F10" t="s">
        <v>21</v>
      </c>
      <c r="G10" t="str">
        <f>"00045928"</f>
        <v>00045928</v>
      </c>
      <c r="H10" t="s">
        <v>22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23</v>
      </c>
      <c r="AA10">
        <v>391</v>
      </c>
      <c r="AB10" t="s">
        <v>23</v>
      </c>
    </row>
    <row r="11" spans="1:28" x14ac:dyDescent="0.25">
      <c r="H11" t="s">
        <v>24</v>
      </c>
    </row>
    <row r="12" spans="1:28" x14ac:dyDescent="0.25">
      <c r="A12">
        <v>3</v>
      </c>
      <c r="B12">
        <v>579</v>
      </c>
      <c r="C12" t="s">
        <v>25</v>
      </c>
      <c r="D12" t="s">
        <v>26</v>
      </c>
      <c r="E12" t="s">
        <v>14</v>
      </c>
      <c r="F12" t="s">
        <v>27</v>
      </c>
      <c r="G12" t="str">
        <f>"201405000873"</f>
        <v>201405000873</v>
      </c>
      <c r="H12" t="s">
        <v>28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50</v>
      </c>
      <c r="Q12">
        <v>0</v>
      </c>
      <c r="R12">
        <v>50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24</v>
      </c>
      <c r="AA12">
        <v>408</v>
      </c>
      <c r="AB12" t="s">
        <v>29</v>
      </c>
    </row>
    <row r="13" spans="1:28" x14ac:dyDescent="0.25">
      <c r="H13">
        <v>1009</v>
      </c>
    </row>
    <row r="14" spans="1:28" x14ac:dyDescent="0.25">
      <c r="A14">
        <v>4</v>
      </c>
      <c r="B14">
        <v>2946</v>
      </c>
      <c r="C14" t="s">
        <v>30</v>
      </c>
      <c r="D14" t="s">
        <v>31</v>
      </c>
      <c r="E14" t="s">
        <v>32</v>
      </c>
      <c r="F14" t="s">
        <v>33</v>
      </c>
      <c r="G14" t="str">
        <f>"00209236"</f>
        <v>00209236</v>
      </c>
      <c r="H14" t="s">
        <v>34</v>
      </c>
      <c r="I14">
        <v>150</v>
      </c>
      <c r="J14">
        <v>0</v>
      </c>
      <c r="K14">
        <v>0</v>
      </c>
      <c r="L14">
        <v>260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24</v>
      </c>
      <c r="AA14">
        <v>408</v>
      </c>
      <c r="AB14" t="s">
        <v>35</v>
      </c>
    </row>
    <row r="15" spans="1:28" x14ac:dyDescent="0.25">
      <c r="H15" t="s">
        <v>36</v>
      </c>
    </row>
    <row r="16" spans="1:28" x14ac:dyDescent="0.25">
      <c r="A16">
        <v>5</v>
      </c>
      <c r="B16">
        <v>164</v>
      </c>
      <c r="C16" t="s">
        <v>37</v>
      </c>
      <c r="D16" t="s">
        <v>38</v>
      </c>
      <c r="E16" t="s">
        <v>39</v>
      </c>
      <c r="F16" t="s">
        <v>40</v>
      </c>
      <c r="G16" t="str">
        <f>"201303000172"</f>
        <v>201303000172</v>
      </c>
      <c r="H16">
        <v>770</v>
      </c>
      <c r="I16">
        <v>0</v>
      </c>
      <c r="J16">
        <v>400</v>
      </c>
      <c r="K16">
        <v>0</v>
      </c>
      <c r="L16">
        <v>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24</v>
      </c>
      <c r="AA16">
        <v>408</v>
      </c>
      <c r="AB16">
        <v>1648</v>
      </c>
    </row>
    <row r="17" spans="1:28" x14ac:dyDescent="0.25">
      <c r="H17" t="s">
        <v>41</v>
      </c>
    </row>
    <row r="18" spans="1:28" x14ac:dyDescent="0.25">
      <c r="A18">
        <v>6</v>
      </c>
      <c r="B18">
        <v>4271</v>
      </c>
      <c r="C18" t="s">
        <v>42</v>
      </c>
      <c r="D18" t="s">
        <v>43</v>
      </c>
      <c r="E18" t="s">
        <v>44</v>
      </c>
      <c r="F18" t="s">
        <v>45</v>
      </c>
      <c r="G18" t="str">
        <f>"200805000293"</f>
        <v>200805000293</v>
      </c>
      <c r="H18" t="s">
        <v>46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50</v>
      </c>
      <c r="P18">
        <v>0</v>
      </c>
      <c r="Q18">
        <v>30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24</v>
      </c>
      <c r="AA18">
        <v>408</v>
      </c>
      <c r="AB18" t="s">
        <v>47</v>
      </c>
    </row>
    <row r="19" spans="1:28" x14ac:dyDescent="0.25">
      <c r="H19" t="s">
        <v>48</v>
      </c>
    </row>
    <row r="20" spans="1:28" x14ac:dyDescent="0.25">
      <c r="A20">
        <v>7</v>
      </c>
      <c r="B20">
        <v>1654</v>
      </c>
      <c r="C20" t="s">
        <v>49</v>
      </c>
      <c r="D20" t="s">
        <v>50</v>
      </c>
      <c r="E20" t="s">
        <v>51</v>
      </c>
      <c r="F20" t="s">
        <v>52</v>
      </c>
      <c r="G20" t="str">
        <f>"00325331"</f>
        <v>00325331</v>
      </c>
      <c r="H20" t="s">
        <v>53</v>
      </c>
      <c r="I20">
        <v>0</v>
      </c>
      <c r="J20">
        <v>0</v>
      </c>
      <c r="K20">
        <v>0</v>
      </c>
      <c r="L20">
        <v>200</v>
      </c>
      <c r="M20">
        <v>30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24</v>
      </c>
      <c r="AA20">
        <v>408</v>
      </c>
      <c r="AB20" t="s">
        <v>54</v>
      </c>
    </row>
    <row r="21" spans="1:28" x14ac:dyDescent="0.25">
      <c r="H21" t="s">
        <v>55</v>
      </c>
    </row>
    <row r="22" spans="1:28" x14ac:dyDescent="0.25">
      <c r="A22">
        <v>8</v>
      </c>
      <c r="B22">
        <v>1220</v>
      </c>
      <c r="C22" t="s">
        <v>56</v>
      </c>
      <c r="D22" t="s">
        <v>50</v>
      </c>
      <c r="E22" t="s">
        <v>20</v>
      </c>
      <c r="F22" t="s">
        <v>57</v>
      </c>
      <c r="G22" t="str">
        <f>"00131687"</f>
        <v>00131687</v>
      </c>
      <c r="H22" t="s">
        <v>58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24</v>
      </c>
      <c r="AA22">
        <v>408</v>
      </c>
      <c r="AB22" t="s">
        <v>59</v>
      </c>
    </row>
    <row r="23" spans="1:28" x14ac:dyDescent="0.25">
      <c r="H23" t="s">
        <v>60</v>
      </c>
    </row>
    <row r="24" spans="1:28" x14ac:dyDescent="0.25">
      <c r="A24">
        <v>9</v>
      </c>
      <c r="B24">
        <v>2751</v>
      </c>
      <c r="C24" t="s">
        <v>61</v>
      </c>
      <c r="D24" t="s">
        <v>62</v>
      </c>
      <c r="E24" t="s">
        <v>63</v>
      </c>
      <c r="F24" t="s">
        <v>64</v>
      </c>
      <c r="G24" t="str">
        <f>"201304005105"</f>
        <v>201304005105</v>
      </c>
      <c r="H24" t="s">
        <v>65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50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24</v>
      </c>
      <c r="AA24">
        <v>408</v>
      </c>
      <c r="AB24" t="s">
        <v>66</v>
      </c>
    </row>
    <row r="25" spans="1:28" x14ac:dyDescent="0.25">
      <c r="H25" t="s">
        <v>67</v>
      </c>
    </row>
    <row r="26" spans="1:28" x14ac:dyDescent="0.25">
      <c r="A26">
        <v>10</v>
      </c>
      <c r="B26">
        <v>4730</v>
      </c>
      <c r="C26" t="s">
        <v>68</v>
      </c>
      <c r="D26" t="s">
        <v>69</v>
      </c>
      <c r="E26" t="s">
        <v>70</v>
      </c>
      <c r="F26" t="s">
        <v>71</v>
      </c>
      <c r="G26" t="str">
        <f>"201506000302"</f>
        <v>201506000302</v>
      </c>
      <c r="H26" t="s">
        <v>72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24</v>
      </c>
      <c r="AA26">
        <v>408</v>
      </c>
      <c r="AB26" t="s">
        <v>73</v>
      </c>
    </row>
    <row r="27" spans="1:28" x14ac:dyDescent="0.25">
      <c r="H27" t="s">
        <v>74</v>
      </c>
    </row>
    <row r="28" spans="1:28" x14ac:dyDescent="0.25">
      <c r="A28">
        <v>11</v>
      </c>
      <c r="B28">
        <v>4391</v>
      </c>
      <c r="C28" t="s">
        <v>75</v>
      </c>
      <c r="D28" t="s">
        <v>76</v>
      </c>
      <c r="E28" t="s">
        <v>20</v>
      </c>
      <c r="F28" t="s">
        <v>77</v>
      </c>
      <c r="G28" t="str">
        <f>"201402004502"</f>
        <v>201402004502</v>
      </c>
      <c r="H28">
        <v>814</v>
      </c>
      <c r="I28">
        <v>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50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24</v>
      </c>
      <c r="AA28">
        <v>408</v>
      </c>
      <c r="AB28">
        <v>1572</v>
      </c>
    </row>
    <row r="29" spans="1:28" x14ac:dyDescent="0.25">
      <c r="H29" t="s">
        <v>78</v>
      </c>
    </row>
    <row r="30" spans="1:28" x14ac:dyDescent="0.25">
      <c r="A30">
        <v>12</v>
      </c>
      <c r="B30">
        <v>480</v>
      </c>
      <c r="C30" t="s">
        <v>79</v>
      </c>
      <c r="D30" t="s">
        <v>19</v>
      </c>
      <c r="E30" t="s">
        <v>80</v>
      </c>
      <c r="F30" t="s">
        <v>81</v>
      </c>
      <c r="G30" t="str">
        <f>"201304003542"</f>
        <v>201304003542</v>
      </c>
      <c r="H30">
        <v>935</v>
      </c>
      <c r="I30">
        <v>150</v>
      </c>
      <c r="J30">
        <v>0</v>
      </c>
      <c r="K30">
        <v>0</v>
      </c>
      <c r="L30">
        <v>260</v>
      </c>
      <c r="M30">
        <v>0</v>
      </c>
      <c r="N30">
        <v>70</v>
      </c>
      <c r="O30">
        <v>30</v>
      </c>
      <c r="P30">
        <v>50</v>
      </c>
      <c r="Q30">
        <v>50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>
        <v>0</v>
      </c>
      <c r="AB30">
        <v>1545</v>
      </c>
    </row>
    <row r="31" spans="1:28" x14ac:dyDescent="0.25">
      <c r="H31" t="s">
        <v>82</v>
      </c>
    </row>
    <row r="32" spans="1:28" x14ac:dyDescent="0.25">
      <c r="A32">
        <v>13</v>
      </c>
      <c r="B32">
        <v>1772</v>
      </c>
      <c r="C32" t="s">
        <v>83</v>
      </c>
      <c r="D32" t="s">
        <v>84</v>
      </c>
      <c r="E32" t="s">
        <v>85</v>
      </c>
      <c r="F32" t="s">
        <v>86</v>
      </c>
      <c r="G32" t="str">
        <f>"201511016645"</f>
        <v>201511016645</v>
      </c>
      <c r="H32" t="s">
        <v>87</v>
      </c>
      <c r="I32">
        <v>0</v>
      </c>
      <c r="J32">
        <v>0</v>
      </c>
      <c r="K32">
        <v>0</v>
      </c>
      <c r="L32">
        <v>200</v>
      </c>
      <c r="M32">
        <v>30</v>
      </c>
      <c r="N32">
        <v>70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1</v>
      </c>
      <c r="Y32">
        <v>0</v>
      </c>
      <c r="Z32">
        <v>24</v>
      </c>
      <c r="AA32">
        <v>408</v>
      </c>
      <c r="AB32" t="s">
        <v>88</v>
      </c>
    </row>
    <row r="33" spans="1:28" x14ac:dyDescent="0.25">
      <c r="H33" t="s">
        <v>89</v>
      </c>
    </row>
    <row r="34" spans="1:28" x14ac:dyDescent="0.25">
      <c r="A34">
        <v>14</v>
      </c>
      <c r="B34">
        <v>4240</v>
      </c>
      <c r="C34" t="s">
        <v>90</v>
      </c>
      <c r="D34" t="s">
        <v>91</v>
      </c>
      <c r="E34" t="s">
        <v>14</v>
      </c>
      <c r="F34" t="s">
        <v>92</v>
      </c>
      <c r="G34" t="str">
        <f>"201304000593"</f>
        <v>201304000593</v>
      </c>
      <c r="H34" t="s">
        <v>93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30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0</v>
      </c>
      <c r="Z34">
        <v>24</v>
      </c>
      <c r="AA34">
        <v>408</v>
      </c>
      <c r="AB34" t="s">
        <v>94</v>
      </c>
    </row>
    <row r="35" spans="1:28" x14ac:dyDescent="0.25">
      <c r="H35" t="s">
        <v>95</v>
      </c>
    </row>
    <row r="36" spans="1:28" x14ac:dyDescent="0.25">
      <c r="A36">
        <v>15</v>
      </c>
      <c r="B36">
        <v>2441</v>
      </c>
      <c r="C36" t="s">
        <v>96</v>
      </c>
      <c r="D36" t="s">
        <v>97</v>
      </c>
      <c r="E36" t="s">
        <v>98</v>
      </c>
      <c r="F36" t="s">
        <v>99</v>
      </c>
      <c r="G36" t="str">
        <f>"201402012181"</f>
        <v>201402012181</v>
      </c>
      <c r="H36" t="s">
        <v>100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30</v>
      </c>
      <c r="R36">
        <v>30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24</v>
      </c>
      <c r="AA36">
        <v>408</v>
      </c>
      <c r="AB36" t="s">
        <v>101</v>
      </c>
    </row>
    <row r="37" spans="1:28" x14ac:dyDescent="0.25">
      <c r="H37" t="s">
        <v>102</v>
      </c>
    </row>
    <row r="38" spans="1:28" x14ac:dyDescent="0.25">
      <c r="A38">
        <v>16</v>
      </c>
      <c r="B38">
        <v>2000</v>
      </c>
      <c r="C38" t="s">
        <v>103</v>
      </c>
      <c r="D38" t="s">
        <v>104</v>
      </c>
      <c r="E38" t="s">
        <v>20</v>
      </c>
      <c r="F38" t="s">
        <v>105</v>
      </c>
      <c r="G38" t="str">
        <f>"200809000284"</f>
        <v>200809000284</v>
      </c>
      <c r="H38" t="s">
        <v>106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30</v>
      </c>
      <c r="R38">
        <v>30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24</v>
      </c>
      <c r="AA38">
        <v>408</v>
      </c>
      <c r="AB38" t="s">
        <v>107</v>
      </c>
    </row>
    <row r="39" spans="1:28" x14ac:dyDescent="0.25">
      <c r="H39">
        <v>1009</v>
      </c>
    </row>
    <row r="40" spans="1:28" x14ac:dyDescent="0.25">
      <c r="A40">
        <v>17</v>
      </c>
      <c r="B40">
        <v>373</v>
      </c>
      <c r="C40" t="s">
        <v>108</v>
      </c>
      <c r="D40" t="s">
        <v>109</v>
      </c>
      <c r="E40" t="s">
        <v>110</v>
      </c>
      <c r="F40" t="s">
        <v>111</v>
      </c>
      <c r="G40" t="str">
        <f>"201410012665"</f>
        <v>201410012665</v>
      </c>
      <c r="H40" t="s">
        <v>112</v>
      </c>
      <c r="I40">
        <v>0</v>
      </c>
      <c r="J40">
        <v>400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0</v>
      </c>
      <c r="Z40">
        <v>0</v>
      </c>
      <c r="AA40">
        <v>0</v>
      </c>
      <c r="AB40" t="s">
        <v>113</v>
      </c>
    </row>
    <row r="41" spans="1:28" x14ac:dyDescent="0.25">
      <c r="H41" t="s">
        <v>114</v>
      </c>
    </row>
    <row r="42" spans="1:28" x14ac:dyDescent="0.25">
      <c r="A42">
        <v>18</v>
      </c>
      <c r="B42">
        <v>3154</v>
      </c>
      <c r="C42" t="s">
        <v>115</v>
      </c>
      <c r="D42" t="s">
        <v>116</v>
      </c>
      <c r="E42" t="s">
        <v>117</v>
      </c>
      <c r="F42" t="s">
        <v>118</v>
      </c>
      <c r="G42" t="str">
        <f>"200802002774"</f>
        <v>200802002774</v>
      </c>
      <c r="H42" t="s">
        <v>119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30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24</v>
      </c>
      <c r="AA42">
        <v>408</v>
      </c>
      <c r="AB42" t="s">
        <v>120</v>
      </c>
    </row>
    <row r="43" spans="1:28" x14ac:dyDescent="0.25">
      <c r="H43" t="s">
        <v>121</v>
      </c>
    </row>
    <row r="44" spans="1:28" x14ac:dyDescent="0.25">
      <c r="A44">
        <v>19</v>
      </c>
      <c r="B44">
        <v>4979</v>
      </c>
      <c r="C44" t="s">
        <v>122</v>
      </c>
      <c r="D44" t="s">
        <v>123</v>
      </c>
      <c r="E44" t="s">
        <v>38</v>
      </c>
      <c r="F44" t="s">
        <v>124</v>
      </c>
      <c r="G44" t="str">
        <f>"201406013526"</f>
        <v>201406013526</v>
      </c>
      <c r="H44" t="s">
        <v>125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70</v>
      </c>
      <c r="P44">
        <v>30</v>
      </c>
      <c r="Q44">
        <v>0</v>
      </c>
      <c r="R44">
        <v>30</v>
      </c>
      <c r="S44">
        <v>30</v>
      </c>
      <c r="T44">
        <v>0</v>
      </c>
      <c r="U44">
        <v>0</v>
      </c>
      <c r="V44">
        <v>0</v>
      </c>
      <c r="X44">
        <v>0</v>
      </c>
      <c r="Y44">
        <v>0</v>
      </c>
      <c r="Z44">
        <v>24</v>
      </c>
      <c r="AA44">
        <v>408</v>
      </c>
      <c r="AB44" t="s">
        <v>126</v>
      </c>
    </row>
    <row r="45" spans="1:28" x14ac:dyDescent="0.25">
      <c r="H45" t="s">
        <v>127</v>
      </c>
    </row>
    <row r="46" spans="1:28" x14ac:dyDescent="0.25">
      <c r="A46">
        <v>20</v>
      </c>
      <c r="B46">
        <v>1397</v>
      </c>
      <c r="C46" t="s">
        <v>128</v>
      </c>
      <c r="D46" t="s">
        <v>20</v>
      </c>
      <c r="E46" t="s">
        <v>14</v>
      </c>
      <c r="F46" t="s">
        <v>129</v>
      </c>
      <c r="G46" t="str">
        <f>"201504004045"</f>
        <v>201504004045</v>
      </c>
      <c r="H46" t="s">
        <v>130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50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0</v>
      </c>
      <c r="AA46">
        <v>0</v>
      </c>
      <c r="AB46" t="s">
        <v>131</v>
      </c>
    </row>
    <row r="47" spans="1:28" x14ac:dyDescent="0.25">
      <c r="H47" t="s">
        <v>132</v>
      </c>
    </row>
    <row r="48" spans="1:28" x14ac:dyDescent="0.25">
      <c r="A48">
        <v>21</v>
      </c>
      <c r="B48">
        <v>1159</v>
      </c>
      <c r="C48" t="s">
        <v>133</v>
      </c>
      <c r="D48" t="s">
        <v>43</v>
      </c>
      <c r="E48" t="s">
        <v>134</v>
      </c>
      <c r="F48" t="s">
        <v>135</v>
      </c>
      <c r="G48" t="str">
        <f>"200802002418"</f>
        <v>200802002418</v>
      </c>
      <c r="H48">
        <v>858</v>
      </c>
      <c r="I48">
        <v>0</v>
      </c>
      <c r="J48">
        <v>0</v>
      </c>
      <c r="K48">
        <v>0</v>
      </c>
      <c r="L48">
        <v>200</v>
      </c>
      <c r="M48">
        <v>0</v>
      </c>
      <c r="N48">
        <v>50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24</v>
      </c>
      <c r="AA48">
        <v>408</v>
      </c>
      <c r="AB48">
        <v>1516</v>
      </c>
    </row>
    <row r="49" spans="1:28" x14ac:dyDescent="0.25">
      <c r="H49" t="s">
        <v>136</v>
      </c>
    </row>
    <row r="50" spans="1:28" x14ac:dyDescent="0.25">
      <c r="A50">
        <v>22</v>
      </c>
      <c r="B50">
        <v>3585</v>
      </c>
      <c r="C50" t="s">
        <v>137</v>
      </c>
      <c r="D50" t="s">
        <v>138</v>
      </c>
      <c r="E50" t="s">
        <v>44</v>
      </c>
      <c r="F50" t="s">
        <v>139</v>
      </c>
      <c r="G50" t="str">
        <f>"00242948"</f>
        <v>00242948</v>
      </c>
      <c r="H50" t="s">
        <v>140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70</v>
      </c>
      <c r="U50">
        <v>0</v>
      </c>
      <c r="V50">
        <v>0</v>
      </c>
      <c r="X50">
        <v>0</v>
      </c>
      <c r="Y50">
        <v>0</v>
      </c>
      <c r="Z50">
        <v>24</v>
      </c>
      <c r="AA50">
        <v>408</v>
      </c>
      <c r="AB50" t="s">
        <v>141</v>
      </c>
    </row>
    <row r="51" spans="1:28" x14ac:dyDescent="0.25">
      <c r="H51" t="s">
        <v>142</v>
      </c>
    </row>
    <row r="52" spans="1:28" x14ac:dyDescent="0.25">
      <c r="A52">
        <v>23</v>
      </c>
      <c r="B52">
        <v>1167</v>
      </c>
      <c r="C52" t="s">
        <v>143</v>
      </c>
      <c r="D52" t="s">
        <v>26</v>
      </c>
      <c r="E52" t="s">
        <v>38</v>
      </c>
      <c r="F52" t="s">
        <v>144</v>
      </c>
      <c r="G52" t="str">
        <f>"201304000090"</f>
        <v>201304000090</v>
      </c>
      <c r="H52" t="s">
        <v>145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30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24</v>
      </c>
      <c r="AA52">
        <v>408</v>
      </c>
      <c r="AB52" t="s">
        <v>146</v>
      </c>
    </row>
    <row r="53" spans="1:28" x14ac:dyDescent="0.25">
      <c r="H53" t="s">
        <v>147</v>
      </c>
    </row>
    <row r="54" spans="1:28" x14ac:dyDescent="0.25">
      <c r="A54">
        <v>24</v>
      </c>
      <c r="B54">
        <v>1621</v>
      </c>
      <c r="C54" t="s">
        <v>148</v>
      </c>
      <c r="D54" t="s">
        <v>80</v>
      </c>
      <c r="E54" t="s">
        <v>109</v>
      </c>
      <c r="F54" t="s">
        <v>149</v>
      </c>
      <c r="G54" t="str">
        <f>"201410003331"</f>
        <v>201410003331</v>
      </c>
      <c r="H54" t="s">
        <v>150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30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24</v>
      </c>
      <c r="AA54">
        <v>408</v>
      </c>
      <c r="AB54" t="s">
        <v>151</v>
      </c>
    </row>
    <row r="55" spans="1:28" x14ac:dyDescent="0.25">
      <c r="H55" t="s">
        <v>152</v>
      </c>
    </row>
    <row r="56" spans="1:28" x14ac:dyDescent="0.25">
      <c r="A56">
        <v>25</v>
      </c>
      <c r="B56">
        <v>1421</v>
      </c>
      <c r="C56" t="s">
        <v>153</v>
      </c>
      <c r="D56" t="s">
        <v>154</v>
      </c>
      <c r="E56" t="s">
        <v>155</v>
      </c>
      <c r="F56" t="s">
        <v>156</v>
      </c>
      <c r="G56" t="str">
        <f>"200801004481"</f>
        <v>200801004481</v>
      </c>
      <c r="H56" t="s">
        <v>157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24</v>
      </c>
      <c r="AA56">
        <v>408</v>
      </c>
      <c r="AB56" t="s">
        <v>158</v>
      </c>
    </row>
    <row r="57" spans="1:28" x14ac:dyDescent="0.25">
      <c r="H57" t="s">
        <v>159</v>
      </c>
    </row>
    <row r="58" spans="1:28" x14ac:dyDescent="0.25">
      <c r="A58">
        <v>26</v>
      </c>
      <c r="B58">
        <v>1516</v>
      </c>
      <c r="C58" t="s">
        <v>160</v>
      </c>
      <c r="D58" t="s">
        <v>20</v>
      </c>
      <c r="E58" t="s">
        <v>161</v>
      </c>
      <c r="F58" t="s">
        <v>162</v>
      </c>
      <c r="G58" t="str">
        <f>"00234916"</f>
        <v>00234916</v>
      </c>
      <c r="H58" t="s">
        <v>163</v>
      </c>
      <c r="I58">
        <v>0</v>
      </c>
      <c r="J58">
        <v>400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>
        <v>0</v>
      </c>
      <c r="AB58" t="s">
        <v>164</v>
      </c>
    </row>
    <row r="59" spans="1:28" x14ac:dyDescent="0.25">
      <c r="H59" t="s">
        <v>165</v>
      </c>
    </row>
    <row r="60" spans="1:28" x14ac:dyDescent="0.25">
      <c r="A60">
        <v>27</v>
      </c>
      <c r="B60">
        <v>3045</v>
      </c>
      <c r="C60" t="s">
        <v>166</v>
      </c>
      <c r="D60" t="s">
        <v>167</v>
      </c>
      <c r="E60" t="s">
        <v>38</v>
      </c>
      <c r="F60" t="s">
        <v>168</v>
      </c>
      <c r="G60" t="str">
        <f>"201506001708"</f>
        <v>201506001708</v>
      </c>
      <c r="H60" t="s">
        <v>169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30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24</v>
      </c>
      <c r="AA60">
        <v>408</v>
      </c>
      <c r="AB60" t="s">
        <v>170</v>
      </c>
    </row>
    <row r="61" spans="1:28" x14ac:dyDescent="0.25">
      <c r="H61" t="s">
        <v>171</v>
      </c>
    </row>
    <row r="62" spans="1:28" x14ac:dyDescent="0.25">
      <c r="A62">
        <v>28</v>
      </c>
      <c r="B62">
        <v>3214</v>
      </c>
      <c r="C62" t="s">
        <v>172</v>
      </c>
      <c r="D62" t="s">
        <v>173</v>
      </c>
      <c r="E62" t="s">
        <v>80</v>
      </c>
      <c r="F62" t="s">
        <v>174</v>
      </c>
      <c r="G62" t="str">
        <f>"201303000236"</f>
        <v>201303000236</v>
      </c>
      <c r="H62" t="s">
        <v>175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24</v>
      </c>
      <c r="AA62">
        <v>408</v>
      </c>
      <c r="AB62" t="s">
        <v>176</v>
      </c>
    </row>
    <row r="63" spans="1:28" x14ac:dyDescent="0.25">
      <c r="H63" t="s">
        <v>177</v>
      </c>
    </row>
    <row r="64" spans="1:28" x14ac:dyDescent="0.25">
      <c r="A64">
        <v>29</v>
      </c>
      <c r="B64">
        <v>1967</v>
      </c>
      <c r="C64" t="s">
        <v>178</v>
      </c>
      <c r="D64" t="s">
        <v>179</v>
      </c>
      <c r="E64" t="s">
        <v>51</v>
      </c>
      <c r="F64" t="s">
        <v>180</v>
      </c>
      <c r="G64" t="str">
        <f>"201304002057"</f>
        <v>201304002057</v>
      </c>
      <c r="H64">
        <v>748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0</v>
      </c>
      <c r="Z64">
        <v>24</v>
      </c>
      <c r="AA64">
        <v>408</v>
      </c>
      <c r="AB64">
        <v>1456</v>
      </c>
    </row>
    <row r="65" spans="1:28" x14ac:dyDescent="0.25">
      <c r="H65" t="s">
        <v>181</v>
      </c>
    </row>
    <row r="66" spans="1:28" x14ac:dyDescent="0.25">
      <c r="A66">
        <v>30</v>
      </c>
      <c r="B66">
        <v>1455</v>
      </c>
      <c r="C66" t="s">
        <v>182</v>
      </c>
      <c r="D66" t="s">
        <v>183</v>
      </c>
      <c r="E66" t="s">
        <v>39</v>
      </c>
      <c r="F66" t="s">
        <v>184</v>
      </c>
      <c r="G66" t="str">
        <f>"201405000532"</f>
        <v>201405000532</v>
      </c>
      <c r="H66">
        <v>803</v>
      </c>
      <c r="I66">
        <v>150</v>
      </c>
      <c r="J66">
        <v>0</v>
      </c>
      <c r="K66">
        <v>0</v>
      </c>
      <c r="L66">
        <v>0</v>
      </c>
      <c r="M66">
        <v>100</v>
      </c>
      <c r="N66">
        <v>30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20</v>
      </c>
      <c r="AA66">
        <v>340</v>
      </c>
      <c r="AB66">
        <v>1453</v>
      </c>
    </row>
    <row r="67" spans="1:28" x14ac:dyDescent="0.25">
      <c r="H67" t="s">
        <v>185</v>
      </c>
    </row>
    <row r="68" spans="1:28" x14ac:dyDescent="0.25">
      <c r="A68">
        <v>31</v>
      </c>
      <c r="B68">
        <v>3862</v>
      </c>
      <c r="C68" t="s">
        <v>186</v>
      </c>
      <c r="D68" t="s">
        <v>187</v>
      </c>
      <c r="E68" t="s">
        <v>20</v>
      </c>
      <c r="F68" t="s">
        <v>188</v>
      </c>
      <c r="G68" t="str">
        <f>"201304004855"</f>
        <v>201304004855</v>
      </c>
      <c r="H68" t="s">
        <v>189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24</v>
      </c>
      <c r="AA68">
        <v>408</v>
      </c>
      <c r="AB68" t="s">
        <v>190</v>
      </c>
    </row>
    <row r="69" spans="1:28" x14ac:dyDescent="0.25">
      <c r="H69" t="s">
        <v>191</v>
      </c>
    </row>
    <row r="70" spans="1:28" x14ac:dyDescent="0.25">
      <c r="A70">
        <v>32</v>
      </c>
      <c r="B70">
        <v>1106</v>
      </c>
      <c r="C70" t="s">
        <v>192</v>
      </c>
      <c r="D70" t="s">
        <v>193</v>
      </c>
      <c r="E70" t="s">
        <v>194</v>
      </c>
      <c r="F70" t="s">
        <v>195</v>
      </c>
      <c r="G70" t="str">
        <f>"201409000321"</f>
        <v>201409000321</v>
      </c>
      <c r="H70" t="s">
        <v>189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24</v>
      </c>
      <c r="AA70">
        <v>408</v>
      </c>
      <c r="AB70" t="s">
        <v>190</v>
      </c>
    </row>
    <row r="71" spans="1:28" x14ac:dyDescent="0.25">
      <c r="H71" t="s">
        <v>196</v>
      </c>
    </row>
    <row r="72" spans="1:28" x14ac:dyDescent="0.25">
      <c r="A72">
        <v>33</v>
      </c>
      <c r="B72">
        <v>3234</v>
      </c>
      <c r="C72" t="s">
        <v>197</v>
      </c>
      <c r="D72" t="s">
        <v>198</v>
      </c>
      <c r="E72" t="s">
        <v>14</v>
      </c>
      <c r="F72" t="s">
        <v>199</v>
      </c>
      <c r="G72" t="str">
        <f>"201304001058"</f>
        <v>201304001058</v>
      </c>
      <c r="H72">
        <v>770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24</v>
      </c>
      <c r="AA72">
        <v>408</v>
      </c>
      <c r="AB72">
        <v>1448</v>
      </c>
    </row>
    <row r="73" spans="1:28" x14ac:dyDescent="0.25">
      <c r="H73" t="s">
        <v>200</v>
      </c>
    </row>
    <row r="74" spans="1:28" x14ac:dyDescent="0.25">
      <c r="A74">
        <v>34</v>
      </c>
      <c r="B74">
        <v>1461</v>
      </c>
      <c r="C74" t="s">
        <v>201</v>
      </c>
      <c r="D74" t="s">
        <v>202</v>
      </c>
      <c r="E74" t="s">
        <v>203</v>
      </c>
      <c r="F74" t="s">
        <v>204</v>
      </c>
      <c r="G74" t="str">
        <f>"00310793"</f>
        <v>00310793</v>
      </c>
      <c r="H74">
        <v>660</v>
      </c>
      <c r="I74">
        <v>150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24</v>
      </c>
      <c r="AA74">
        <v>408</v>
      </c>
      <c r="AB74">
        <v>1448</v>
      </c>
    </row>
    <row r="75" spans="1:28" x14ac:dyDescent="0.25">
      <c r="H75" t="s">
        <v>205</v>
      </c>
    </row>
    <row r="76" spans="1:28" x14ac:dyDescent="0.25">
      <c r="A76">
        <v>35</v>
      </c>
      <c r="B76">
        <v>1055</v>
      </c>
      <c r="C76" t="s">
        <v>206</v>
      </c>
      <c r="D76" t="s">
        <v>138</v>
      </c>
      <c r="E76" t="s">
        <v>80</v>
      </c>
      <c r="F76" t="s">
        <v>207</v>
      </c>
      <c r="G76" t="str">
        <f>"201506004403"</f>
        <v>201506004403</v>
      </c>
      <c r="H76" t="s">
        <v>208</v>
      </c>
      <c r="I76">
        <v>0</v>
      </c>
      <c r="J76">
        <v>0</v>
      </c>
      <c r="K76">
        <v>0</v>
      </c>
      <c r="L76">
        <v>200</v>
      </c>
      <c r="M76">
        <v>0</v>
      </c>
      <c r="N76">
        <v>70</v>
      </c>
      <c r="O76">
        <v>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24</v>
      </c>
      <c r="AA76">
        <v>408</v>
      </c>
      <c r="AB76" t="s">
        <v>209</v>
      </c>
    </row>
    <row r="77" spans="1:28" x14ac:dyDescent="0.25">
      <c r="H77" t="s">
        <v>210</v>
      </c>
    </row>
    <row r="78" spans="1:28" x14ac:dyDescent="0.25">
      <c r="A78">
        <v>36</v>
      </c>
      <c r="B78">
        <v>4334</v>
      </c>
      <c r="C78" t="s">
        <v>211</v>
      </c>
      <c r="D78" t="s">
        <v>97</v>
      </c>
      <c r="E78" t="s">
        <v>212</v>
      </c>
      <c r="F78" t="s">
        <v>213</v>
      </c>
      <c r="G78" t="str">
        <f>"200803000143"</f>
        <v>200803000143</v>
      </c>
      <c r="H78" t="s">
        <v>214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24</v>
      </c>
      <c r="AA78">
        <v>408</v>
      </c>
      <c r="AB78" t="s">
        <v>215</v>
      </c>
    </row>
    <row r="79" spans="1:28" x14ac:dyDescent="0.25">
      <c r="H79" t="s">
        <v>216</v>
      </c>
    </row>
    <row r="80" spans="1:28" x14ac:dyDescent="0.25">
      <c r="A80">
        <v>37</v>
      </c>
      <c r="B80">
        <v>1085</v>
      </c>
      <c r="C80" t="s">
        <v>217</v>
      </c>
      <c r="D80" t="s">
        <v>218</v>
      </c>
      <c r="E80" t="s">
        <v>219</v>
      </c>
      <c r="F80" t="s">
        <v>220</v>
      </c>
      <c r="G80" t="str">
        <f>"00150569"</f>
        <v>00150569</v>
      </c>
      <c r="H80" t="s">
        <v>221</v>
      </c>
      <c r="I80">
        <v>0</v>
      </c>
      <c r="J80">
        <v>400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>
        <v>0</v>
      </c>
      <c r="AB80" t="s">
        <v>222</v>
      </c>
    </row>
    <row r="81" spans="1:28" x14ac:dyDescent="0.25">
      <c r="H81" t="s">
        <v>223</v>
      </c>
    </row>
    <row r="82" spans="1:28" x14ac:dyDescent="0.25">
      <c r="A82">
        <v>38</v>
      </c>
      <c r="B82">
        <v>175</v>
      </c>
      <c r="C82" t="s">
        <v>224</v>
      </c>
      <c r="D82" t="s">
        <v>187</v>
      </c>
      <c r="E82" t="s">
        <v>154</v>
      </c>
      <c r="F82" t="s">
        <v>225</v>
      </c>
      <c r="G82" t="str">
        <f>"200801006193"</f>
        <v>200801006193</v>
      </c>
      <c r="H82" t="s">
        <v>226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30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0</v>
      </c>
      <c r="Z82">
        <v>24</v>
      </c>
      <c r="AA82">
        <v>408</v>
      </c>
      <c r="AB82" t="s">
        <v>227</v>
      </c>
    </row>
    <row r="83" spans="1:28" x14ac:dyDescent="0.25">
      <c r="H83" t="s">
        <v>228</v>
      </c>
    </row>
    <row r="84" spans="1:28" x14ac:dyDescent="0.25">
      <c r="A84">
        <v>39</v>
      </c>
      <c r="B84">
        <v>6</v>
      </c>
      <c r="C84" t="s">
        <v>229</v>
      </c>
      <c r="D84" t="s">
        <v>80</v>
      </c>
      <c r="E84" t="s">
        <v>230</v>
      </c>
      <c r="F84" t="s">
        <v>231</v>
      </c>
      <c r="G84" t="str">
        <f>"200801009215"</f>
        <v>200801009215</v>
      </c>
      <c r="H84" t="s">
        <v>232</v>
      </c>
      <c r="I84">
        <v>150</v>
      </c>
      <c r="J84">
        <v>0</v>
      </c>
      <c r="K84">
        <v>0</v>
      </c>
      <c r="L84">
        <v>260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0</v>
      </c>
      <c r="Z84">
        <v>0</v>
      </c>
      <c r="AA84">
        <v>0</v>
      </c>
      <c r="AB84" t="s">
        <v>233</v>
      </c>
    </row>
    <row r="85" spans="1:28" x14ac:dyDescent="0.25">
      <c r="H85" t="s">
        <v>234</v>
      </c>
    </row>
    <row r="86" spans="1:28" x14ac:dyDescent="0.25">
      <c r="A86">
        <v>40</v>
      </c>
      <c r="B86">
        <v>3365</v>
      </c>
      <c r="C86" t="s">
        <v>235</v>
      </c>
      <c r="D86" t="s">
        <v>236</v>
      </c>
      <c r="E86" t="s">
        <v>14</v>
      </c>
      <c r="F86" t="s">
        <v>237</v>
      </c>
      <c r="G86" t="str">
        <f>"00107129"</f>
        <v>00107129</v>
      </c>
      <c r="H86" t="s">
        <v>238</v>
      </c>
      <c r="I86">
        <v>150</v>
      </c>
      <c r="J86">
        <v>0</v>
      </c>
      <c r="K86">
        <v>0</v>
      </c>
      <c r="L86">
        <v>200</v>
      </c>
      <c r="M86">
        <v>0</v>
      </c>
      <c r="N86">
        <v>70</v>
      </c>
      <c r="O86">
        <v>50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0</v>
      </c>
      <c r="AA86">
        <v>0</v>
      </c>
      <c r="AB86" t="s">
        <v>239</v>
      </c>
    </row>
    <row r="87" spans="1:28" x14ac:dyDescent="0.25">
      <c r="H87" t="s">
        <v>240</v>
      </c>
    </row>
    <row r="88" spans="1:28" x14ac:dyDescent="0.25">
      <c r="A88">
        <v>41</v>
      </c>
      <c r="B88">
        <v>5065</v>
      </c>
      <c r="C88" t="s">
        <v>241</v>
      </c>
      <c r="D88" t="s">
        <v>179</v>
      </c>
      <c r="E88" t="s">
        <v>80</v>
      </c>
      <c r="F88" t="s">
        <v>242</v>
      </c>
      <c r="G88" t="str">
        <f>"200802003924"</f>
        <v>200802003924</v>
      </c>
      <c r="H88" t="s">
        <v>243</v>
      </c>
      <c r="I88">
        <v>0</v>
      </c>
      <c r="J88">
        <v>0</v>
      </c>
      <c r="K88">
        <v>0</v>
      </c>
      <c r="L88">
        <v>260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1</v>
      </c>
      <c r="Y88">
        <v>0</v>
      </c>
      <c r="Z88">
        <v>24</v>
      </c>
      <c r="AA88">
        <v>408</v>
      </c>
      <c r="AB88" t="s">
        <v>244</v>
      </c>
    </row>
    <row r="89" spans="1:28" x14ac:dyDescent="0.25">
      <c r="H89" t="s">
        <v>245</v>
      </c>
    </row>
    <row r="90" spans="1:28" x14ac:dyDescent="0.25">
      <c r="A90">
        <v>42</v>
      </c>
      <c r="B90">
        <v>2904</v>
      </c>
      <c r="C90" t="s">
        <v>246</v>
      </c>
      <c r="D90" t="s">
        <v>43</v>
      </c>
      <c r="E90" t="s">
        <v>247</v>
      </c>
      <c r="F90" t="s">
        <v>248</v>
      </c>
      <c r="G90" t="str">
        <f>"201304005322"</f>
        <v>201304005322</v>
      </c>
      <c r="H90" t="s">
        <v>249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50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0</v>
      </c>
      <c r="Z90">
        <v>24</v>
      </c>
      <c r="AA90">
        <v>408</v>
      </c>
      <c r="AB90" t="s">
        <v>250</v>
      </c>
    </row>
    <row r="91" spans="1:28" x14ac:dyDescent="0.25">
      <c r="H91" t="s">
        <v>251</v>
      </c>
    </row>
    <row r="92" spans="1:28" x14ac:dyDescent="0.25">
      <c r="A92">
        <v>43</v>
      </c>
      <c r="B92">
        <v>3456</v>
      </c>
      <c r="C92" t="s">
        <v>252</v>
      </c>
      <c r="D92" t="s">
        <v>253</v>
      </c>
      <c r="E92" t="s">
        <v>254</v>
      </c>
      <c r="F92" t="s">
        <v>255</v>
      </c>
      <c r="G92" t="str">
        <f>"00322585"</f>
        <v>00322585</v>
      </c>
      <c r="H92" t="s">
        <v>256</v>
      </c>
      <c r="I92">
        <v>150</v>
      </c>
      <c r="J92">
        <v>0</v>
      </c>
      <c r="K92">
        <v>0</v>
      </c>
      <c r="L92">
        <v>200</v>
      </c>
      <c r="M92">
        <v>0</v>
      </c>
      <c r="N92">
        <v>70</v>
      </c>
      <c r="O92">
        <v>50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1</v>
      </c>
      <c r="Y92">
        <v>0</v>
      </c>
      <c r="Z92">
        <v>0</v>
      </c>
      <c r="AA92">
        <v>0</v>
      </c>
      <c r="AB92" t="s">
        <v>257</v>
      </c>
    </row>
    <row r="93" spans="1:28" x14ac:dyDescent="0.25">
      <c r="H93" t="s">
        <v>205</v>
      </c>
    </row>
    <row r="94" spans="1:28" x14ac:dyDescent="0.25">
      <c r="A94">
        <v>44</v>
      </c>
      <c r="B94">
        <v>1164</v>
      </c>
      <c r="C94" t="s">
        <v>258</v>
      </c>
      <c r="D94" t="s">
        <v>259</v>
      </c>
      <c r="E94" t="s">
        <v>260</v>
      </c>
      <c r="F94" t="s">
        <v>261</v>
      </c>
      <c r="G94" t="str">
        <f>"00120511"</f>
        <v>00120511</v>
      </c>
      <c r="H94" t="s">
        <v>169</v>
      </c>
      <c r="I94">
        <v>0</v>
      </c>
      <c r="J94">
        <v>400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>
        <v>0</v>
      </c>
      <c r="AB94" t="s">
        <v>262</v>
      </c>
    </row>
    <row r="95" spans="1:28" x14ac:dyDescent="0.25">
      <c r="H95" t="s">
        <v>263</v>
      </c>
    </row>
    <row r="96" spans="1:28" x14ac:dyDescent="0.25">
      <c r="A96">
        <v>45</v>
      </c>
      <c r="B96">
        <v>1652</v>
      </c>
      <c r="C96" t="s">
        <v>264</v>
      </c>
      <c r="D96" t="s">
        <v>265</v>
      </c>
      <c r="E96" t="s">
        <v>80</v>
      </c>
      <c r="F96" t="s">
        <v>266</v>
      </c>
      <c r="G96" t="str">
        <f>"201406009961"</f>
        <v>201406009961</v>
      </c>
      <c r="H96" t="s">
        <v>267</v>
      </c>
      <c r="I96">
        <v>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30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24</v>
      </c>
      <c r="AA96">
        <v>408</v>
      </c>
      <c r="AB96" t="s">
        <v>268</v>
      </c>
    </row>
    <row r="97" spans="1:28" x14ac:dyDescent="0.25">
      <c r="H97" t="s">
        <v>269</v>
      </c>
    </row>
    <row r="98" spans="1:28" x14ac:dyDescent="0.25">
      <c r="A98">
        <v>46</v>
      </c>
      <c r="B98">
        <v>1710</v>
      </c>
      <c r="C98" t="s">
        <v>270</v>
      </c>
      <c r="D98" t="s">
        <v>271</v>
      </c>
      <c r="E98" t="s">
        <v>50</v>
      </c>
      <c r="F98" t="s">
        <v>272</v>
      </c>
      <c r="G98" t="str">
        <f>"200802008992"</f>
        <v>200802008992</v>
      </c>
      <c r="H98" t="s">
        <v>273</v>
      </c>
      <c r="I98">
        <v>0</v>
      </c>
      <c r="J98">
        <v>0</v>
      </c>
      <c r="K98">
        <v>0</v>
      </c>
      <c r="L98">
        <v>0</v>
      </c>
      <c r="M98">
        <v>100</v>
      </c>
      <c r="N98">
        <v>70</v>
      </c>
      <c r="O98">
        <v>50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0</v>
      </c>
      <c r="Z98">
        <v>24</v>
      </c>
      <c r="AA98">
        <v>408</v>
      </c>
      <c r="AB98" t="s">
        <v>274</v>
      </c>
    </row>
    <row r="99" spans="1:28" x14ac:dyDescent="0.25">
      <c r="H99" t="s">
        <v>275</v>
      </c>
    </row>
    <row r="100" spans="1:28" x14ac:dyDescent="0.25">
      <c r="A100">
        <v>47</v>
      </c>
      <c r="B100">
        <v>4277</v>
      </c>
      <c r="C100" t="s">
        <v>276</v>
      </c>
      <c r="D100" t="s">
        <v>277</v>
      </c>
      <c r="E100" t="s">
        <v>14</v>
      </c>
      <c r="F100" t="s">
        <v>278</v>
      </c>
      <c r="G100" t="str">
        <f>"00217717"</f>
        <v>00217717</v>
      </c>
      <c r="H100" t="s">
        <v>208</v>
      </c>
      <c r="I100">
        <v>0</v>
      </c>
      <c r="J100">
        <v>400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>
        <v>0</v>
      </c>
      <c r="AB100" t="s">
        <v>279</v>
      </c>
    </row>
    <row r="101" spans="1:28" x14ac:dyDescent="0.25">
      <c r="H101" t="s">
        <v>280</v>
      </c>
    </row>
    <row r="102" spans="1:28" x14ac:dyDescent="0.25">
      <c r="A102">
        <v>48</v>
      </c>
      <c r="B102">
        <v>923</v>
      </c>
      <c r="C102" t="s">
        <v>281</v>
      </c>
      <c r="D102" t="s">
        <v>187</v>
      </c>
      <c r="E102" t="s">
        <v>282</v>
      </c>
      <c r="F102" t="s">
        <v>283</v>
      </c>
      <c r="G102" t="str">
        <f>"200810001132"</f>
        <v>200810001132</v>
      </c>
      <c r="H102" t="s">
        <v>284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24</v>
      </c>
      <c r="AA102">
        <v>408</v>
      </c>
      <c r="AB102" t="s">
        <v>285</v>
      </c>
    </row>
    <row r="103" spans="1:28" x14ac:dyDescent="0.25">
      <c r="H103" t="s">
        <v>286</v>
      </c>
    </row>
    <row r="104" spans="1:28" x14ac:dyDescent="0.25">
      <c r="A104">
        <v>49</v>
      </c>
      <c r="B104">
        <v>5203</v>
      </c>
      <c r="C104" t="s">
        <v>287</v>
      </c>
      <c r="D104" t="s">
        <v>98</v>
      </c>
      <c r="E104" t="s">
        <v>15</v>
      </c>
      <c r="F104" t="s">
        <v>288</v>
      </c>
      <c r="G104" t="str">
        <f>"00150495"</f>
        <v>00150495</v>
      </c>
      <c r="H104" t="s">
        <v>289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30</v>
      </c>
      <c r="U104">
        <v>0</v>
      </c>
      <c r="V104">
        <v>0</v>
      </c>
      <c r="X104">
        <v>0</v>
      </c>
      <c r="Y104">
        <v>0</v>
      </c>
      <c r="Z104">
        <v>24</v>
      </c>
      <c r="AA104">
        <v>408</v>
      </c>
      <c r="AB104" t="s">
        <v>290</v>
      </c>
    </row>
    <row r="105" spans="1:28" x14ac:dyDescent="0.25">
      <c r="H105" t="s">
        <v>291</v>
      </c>
    </row>
    <row r="106" spans="1:28" x14ac:dyDescent="0.25">
      <c r="A106">
        <v>50</v>
      </c>
      <c r="B106">
        <v>4590</v>
      </c>
      <c r="C106" t="s">
        <v>292</v>
      </c>
      <c r="D106" t="s">
        <v>69</v>
      </c>
      <c r="E106" t="s">
        <v>154</v>
      </c>
      <c r="F106" t="s">
        <v>293</v>
      </c>
      <c r="G106" t="str">
        <f>"201506004011"</f>
        <v>201506004011</v>
      </c>
      <c r="H106" t="s">
        <v>294</v>
      </c>
      <c r="I106">
        <v>0</v>
      </c>
      <c r="J106">
        <v>400</v>
      </c>
      <c r="K106">
        <v>0</v>
      </c>
      <c r="L106">
        <v>260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>
        <v>0</v>
      </c>
      <c r="AB106" t="s">
        <v>295</v>
      </c>
    </row>
    <row r="107" spans="1:28" x14ac:dyDescent="0.25">
      <c r="H107">
        <v>1009</v>
      </c>
    </row>
    <row r="108" spans="1:28" x14ac:dyDescent="0.25">
      <c r="A108">
        <v>51</v>
      </c>
      <c r="B108">
        <v>213</v>
      </c>
      <c r="C108" t="s">
        <v>296</v>
      </c>
      <c r="D108" t="s">
        <v>187</v>
      </c>
      <c r="E108" t="s">
        <v>297</v>
      </c>
      <c r="F108" t="s">
        <v>298</v>
      </c>
      <c r="G108" t="str">
        <f>"201410011086"</f>
        <v>201410011086</v>
      </c>
      <c r="H108" t="s">
        <v>299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16</v>
      </c>
      <c r="AA108">
        <v>272</v>
      </c>
      <c r="AB108" t="s">
        <v>300</v>
      </c>
    </row>
    <row r="109" spans="1:28" x14ac:dyDescent="0.25">
      <c r="H109" t="s">
        <v>301</v>
      </c>
    </row>
    <row r="110" spans="1:28" x14ac:dyDescent="0.25">
      <c r="A110">
        <v>52</v>
      </c>
      <c r="B110">
        <v>3369</v>
      </c>
      <c r="C110" t="s">
        <v>302</v>
      </c>
      <c r="D110" t="s">
        <v>303</v>
      </c>
      <c r="E110" t="s">
        <v>155</v>
      </c>
      <c r="F110" t="s">
        <v>304</v>
      </c>
      <c r="G110" t="str">
        <f>"201302000078"</f>
        <v>201302000078</v>
      </c>
      <c r="H110">
        <v>946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70</v>
      </c>
      <c r="P110">
        <v>50</v>
      </c>
      <c r="Q110">
        <v>0</v>
      </c>
      <c r="R110">
        <v>50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0</v>
      </c>
      <c r="Z110">
        <v>0</v>
      </c>
      <c r="AA110">
        <v>0</v>
      </c>
      <c r="AB110">
        <v>1386</v>
      </c>
    </row>
    <row r="111" spans="1:28" x14ac:dyDescent="0.25">
      <c r="H111" t="s">
        <v>60</v>
      </c>
    </row>
    <row r="112" spans="1:28" x14ac:dyDescent="0.25">
      <c r="A112">
        <v>53</v>
      </c>
      <c r="B112">
        <v>3106</v>
      </c>
      <c r="C112" t="s">
        <v>305</v>
      </c>
      <c r="D112" t="s">
        <v>306</v>
      </c>
      <c r="E112" t="s">
        <v>50</v>
      </c>
      <c r="F112" t="s">
        <v>307</v>
      </c>
      <c r="G112" t="str">
        <f>"201402006243"</f>
        <v>201402006243</v>
      </c>
      <c r="H112" t="s">
        <v>299</v>
      </c>
      <c r="I112">
        <v>150</v>
      </c>
      <c r="J112">
        <v>0</v>
      </c>
      <c r="K112">
        <v>0</v>
      </c>
      <c r="L112">
        <v>200</v>
      </c>
      <c r="M112">
        <v>30</v>
      </c>
      <c r="N112">
        <v>70</v>
      </c>
      <c r="O112">
        <v>0</v>
      </c>
      <c r="P112">
        <v>0</v>
      </c>
      <c r="Q112">
        <v>30</v>
      </c>
      <c r="R112">
        <v>30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>
        <v>0</v>
      </c>
      <c r="AB112" t="s">
        <v>308</v>
      </c>
    </row>
    <row r="113" spans="1:28" x14ac:dyDescent="0.25">
      <c r="H113" t="s">
        <v>309</v>
      </c>
    </row>
    <row r="114" spans="1:28" x14ac:dyDescent="0.25">
      <c r="A114">
        <v>54</v>
      </c>
      <c r="B114">
        <v>4740</v>
      </c>
      <c r="C114" t="s">
        <v>310</v>
      </c>
      <c r="D114" t="s">
        <v>311</v>
      </c>
      <c r="E114" t="s">
        <v>14</v>
      </c>
      <c r="F114" t="s">
        <v>312</v>
      </c>
      <c r="G114" t="str">
        <f>"201506002909"</f>
        <v>201506002909</v>
      </c>
      <c r="H114" t="s">
        <v>34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20</v>
      </c>
      <c r="AA114">
        <v>340</v>
      </c>
      <c r="AB114" t="s">
        <v>313</v>
      </c>
    </row>
    <row r="115" spans="1:28" x14ac:dyDescent="0.25">
      <c r="H115" t="s">
        <v>314</v>
      </c>
    </row>
    <row r="116" spans="1:28" x14ac:dyDescent="0.25">
      <c r="A116">
        <v>55</v>
      </c>
      <c r="B116">
        <v>3514</v>
      </c>
      <c r="C116" t="s">
        <v>315</v>
      </c>
      <c r="D116" t="s">
        <v>316</v>
      </c>
      <c r="E116" t="s">
        <v>109</v>
      </c>
      <c r="F116" t="s">
        <v>317</v>
      </c>
      <c r="G116" t="str">
        <f>"00203459"</f>
        <v>00203459</v>
      </c>
      <c r="H116" t="s">
        <v>318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24</v>
      </c>
      <c r="AA116">
        <v>408</v>
      </c>
      <c r="AB116" t="s">
        <v>319</v>
      </c>
    </row>
    <row r="117" spans="1:28" x14ac:dyDescent="0.25">
      <c r="H117" t="s">
        <v>320</v>
      </c>
    </row>
    <row r="118" spans="1:28" x14ac:dyDescent="0.25">
      <c r="A118">
        <v>56</v>
      </c>
      <c r="B118">
        <v>668</v>
      </c>
      <c r="C118" t="s">
        <v>321</v>
      </c>
      <c r="D118" t="s">
        <v>322</v>
      </c>
      <c r="E118" t="s">
        <v>51</v>
      </c>
      <c r="F118" t="s">
        <v>323</v>
      </c>
      <c r="G118" t="str">
        <f>"00123736"</f>
        <v>00123736</v>
      </c>
      <c r="H118" t="s">
        <v>324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>
        <v>0</v>
      </c>
      <c r="AB118" t="s">
        <v>325</v>
      </c>
    </row>
    <row r="119" spans="1:28" x14ac:dyDescent="0.25">
      <c r="H119" t="s">
        <v>326</v>
      </c>
    </row>
    <row r="120" spans="1:28" x14ac:dyDescent="0.25">
      <c r="A120">
        <v>57</v>
      </c>
      <c r="B120">
        <v>3030</v>
      </c>
      <c r="C120" t="s">
        <v>327</v>
      </c>
      <c r="D120" t="s">
        <v>328</v>
      </c>
      <c r="E120" t="s">
        <v>98</v>
      </c>
      <c r="F120" t="s">
        <v>329</v>
      </c>
      <c r="G120" t="str">
        <f>"00088197"</f>
        <v>00088197</v>
      </c>
      <c r="H120" t="s">
        <v>330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30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18</v>
      </c>
      <c r="AA120">
        <v>306</v>
      </c>
      <c r="AB120" t="s">
        <v>331</v>
      </c>
    </row>
    <row r="121" spans="1:28" x14ac:dyDescent="0.25">
      <c r="H121">
        <v>1009</v>
      </c>
    </row>
    <row r="122" spans="1:28" x14ac:dyDescent="0.25">
      <c r="A122">
        <v>58</v>
      </c>
      <c r="B122">
        <v>272</v>
      </c>
      <c r="C122" t="s">
        <v>332</v>
      </c>
      <c r="D122" t="s">
        <v>333</v>
      </c>
      <c r="E122" t="s">
        <v>14</v>
      </c>
      <c r="F122" t="s">
        <v>334</v>
      </c>
      <c r="G122" t="str">
        <f>"201304001191"</f>
        <v>201304001191</v>
      </c>
      <c r="H122" t="s">
        <v>335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24</v>
      </c>
      <c r="AA122">
        <v>408</v>
      </c>
      <c r="AB122" t="s">
        <v>336</v>
      </c>
    </row>
    <row r="123" spans="1:28" x14ac:dyDescent="0.25">
      <c r="H123" t="s">
        <v>337</v>
      </c>
    </row>
    <row r="124" spans="1:28" x14ac:dyDescent="0.25">
      <c r="A124">
        <v>59</v>
      </c>
      <c r="B124">
        <v>785</v>
      </c>
      <c r="C124" t="s">
        <v>338</v>
      </c>
      <c r="D124" t="s">
        <v>339</v>
      </c>
      <c r="E124" t="s">
        <v>14</v>
      </c>
      <c r="F124" t="s">
        <v>340</v>
      </c>
      <c r="G124" t="str">
        <f>"201304006228"</f>
        <v>201304006228</v>
      </c>
      <c r="H124" t="s">
        <v>341</v>
      </c>
      <c r="I124">
        <v>150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30</v>
      </c>
      <c r="Q124">
        <v>0</v>
      </c>
      <c r="R124">
        <v>50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>
        <v>0</v>
      </c>
      <c r="AB124" t="s">
        <v>342</v>
      </c>
    </row>
    <row r="125" spans="1:28" x14ac:dyDescent="0.25">
      <c r="H125" t="s">
        <v>343</v>
      </c>
    </row>
    <row r="126" spans="1:28" x14ac:dyDescent="0.25">
      <c r="A126">
        <v>60</v>
      </c>
      <c r="B126">
        <v>3057</v>
      </c>
      <c r="C126" t="s">
        <v>344</v>
      </c>
      <c r="D126" t="s">
        <v>80</v>
      </c>
      <c r="E126" t="s">
        <v>345</v>
      </c>
      <c r="F126" t="s">
        <v>346</v>
      </c>
      <c r="G126" t="str">
        <f>"201406018267"</f>
        <v>201406018267</v>
      </c>
      <c r="H126" t="s">
        <v>347</v>
      </c>
      <c r="I126">
        <v>150</v>
      </c>
      <c r="J126">
        <v>0</v>
      </c>
      <c r="K126">
        <v>0</v>
      </c>
      <c r="L126">
        <v>200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>
        <v>0</v>
      </c>
      <c r="AB126" t="s">
        <v>348</v>
      </c>
    </row>
    <row r="127" spans="1:28" x14ac:dyDescent="0.25">
      <c r="H127">
        <v>1009</v>
      </c>
    </row>
    <row r="128" spans="1:28" x14ac:dyDescent="0.25">
      <c r="A128">
        <v>61</v>
      </c>
      <c r="B128">
        <v>479</v>
      </c>
      <c r="C128" t="s">
        <v>349</v>
      </c>
      <c r="D128" t="s">
        <v>350</v>
      </c>
      <c r="E128" t="s">
        <v>38</v>
      </c>
      <c r="F128" t="s">
        <v>351</v>
      </c>
      <c r="G128" t="str">
        <f>"201511008624"</f>
        <v>201511008624</v>
      </c>
      <c r="H128" t="s">
        <v>352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50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8</v>
      </c>
      <c r="AA128">
        <v>136</v>
      </c>
      <c r="AB128" t="s">
        <v>353</v>
      </c>
    </row>
    <row r="129" spans="1:28" x14ac:dyDescent="0.25">
      <c r="H129" t="s">
        <v>354</v>
      </c>
    </row>
    <row r="130" spans="1:28" x14ac:dyDescent="0.25">
      <c r="A130">
        <v>62</v>
      </c>
      <c r="B130">
        <v>781</v>
      </c>
      <c r="C130" t="s">
        <v>355</v>
      </c>
      <c r="D130" t="s">
        <v>356</v>
      </c>
      <c r="E130" t="s">
        <v>357</v>
      </c>
      <c r="F130" t="s">
        <v>358</v>
      </c>
      <c r="G130" t="str">
        <f>"201410004570"</f>
        <v>201410004570</v>
      </c>
      <c r="H130" t="s">
        <v>289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24</v>
      </c>
      <c r="AA130">
        <v>408</v>
      </c>
      <c r="AB130" t="s">
        <v>359</v>
      </c>
    </row>
    <row r="131" spans="1:28" x14ac:dyDescent="0.25">
      <c r="H131" t="s">
        <v>360</v>
      </c>
    </row>
    <row r="132" spans="1:28" x14ac:dyDescent="0.25">
      <c r="A132">
        <v>63</v>
      </c>
      <c r="B132">
        <v>2860</v>
      </c>
      <c r="C132" t="s">
        <v>361</v>
      </c>
      <c r="D132" t="s">
        <v>362</v>
      </c>
      <c r="E132" t="s">
        <v>20</v>
      </c>
      <c r="F132" t="s">
        <v>363</v>
      </c>
      <c r="G132" t="str">
        <f>"201406000044"</f>
        <v>201406000044</v>
      </c>
      <c r="H132">
        <v>638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30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0</v>
      </c>
      <c r="Z132">
        <v>24</v>
      </c>
      <c r="AA132">
        <v>408</v>
      </c>
      <c r="AB132">
        <v>1346</v>
      </c>
    </row>
    <row r="133" spans="1:28" x14ac:dyDescent="0.25">
      <c r="H133" t="s">
        <v>364</v>
      </c>
    </row>
    <row r="134" spans="1:28" x14ac:dyDescent="0.25">
      <c r="A134">
        <v>64</v>
      </c>
      <c r="B134">
        <v>5003</v>
      </c>
      <c r="C134" t="s">
        <v>365</v>
      </c>
      <c r="D134" t="s">
        <v>366</v>
      </c>
      <c r="E134" t="s">
        <v>20</v>
      </c>
      <c r="F134" t="s">
        <v>367</v>
      </c>
      <c r="G134" t="str">
        <f>"201304003421"</f>
        <v>201304003421</v>
      </c>
      <c r="H134" t="s">
        <v>368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30</v>
      </c>
      <c r="P134">
        <v>0</v>
      </c>
      <c r="Q134">
        <v>70</v>
      </c>
      <c r="R134">
        <v>50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>
        <v>0</v>
      </c>
      <c r="AB134" t="s">
        <v>369</v>
      </c>
    </row>
    <row r="135" spans="1:28" x14ac:dyDescent="0.25">
      <c r="H135" t="s">
        <v>370</v>
      </c>
    </row>
    <row r="136" spans="1:28" x14ac:dyDescent="0.25">
      <c r="A136">
        <v>65</v>
      </c>
      <c r="B136">
        <v>814</v>
      </c>
      <c r="C136" t="s">
        <v>371</v>
      </c>
      <c r="D136" t="s">
        <v>372</v>
      </c>
      <c r="E136" t="s">
        <v>51</v>
      </c>
      <c r="F136" t="s">
        <v>373</v>
      </c>
      <c r="G136" t="str">
        <f>"201304000288"</f>
        <v>201304000288</v>
      </c>
      <c r="H136">
        <v>660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24</v>
      </c>
      <c r="AA136">
        <v>408</v>
      </c>
      <c r="AB136">
        <v>1338</v>
      </c>
    </row>
    <row r="137" spans="1:28" x14ac:dyDescent="0.25">
      <c r="H137" t="s">
        <v>374</v>
      </c>
    </row>
    <row r="138" spans="1:28" x14ac:dyDescent="0.25">
      <c r="A138">
        <v>66</v>
      </c>
      <c r="B138">
        <v>2273</v>
      </c>
      <c r="C138" t="s">
        <v>375</v>
      </c>
      <c r="D138" t="s">
        <v>26</v>
      </c>
      <c r="E138" t="s">
        <v>218</v>
      </c>
      <c r="F138" t="s">
        <v>376</v>
      </c>
      <c r="G138" t="str">
        <f>"201304001104"</f>
        <v>201304001104</v>
      </c>
      <c r="H138" t="s">
        <v>377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24</v>
      </c>
      <c r="AA138">
        <v>408</v>
      </c>
      <c r="AB138" t="s">
        <v>378</v>
      </c>
    </row>
    <row r="139" spans="1:28" x14ac:dyDescent="0.25">
      <c r="H139" t="s">
        <v>379</v>
      </c>
    </row>
    <row r="140" spans="1:28" x14ac:dyDescent="0.25">
      <c r="A140">
        <v>67</v>
      </c>
      <c r="B140">
        <v>3093</v>
      </c>
      <c r="C140" t="s">
        <v>380</v>
      </c>
      <c r="D140" t="s">
        <v>381</v>
      </c>
      <c r="E140" t="s">
        <v>382</v>
      </c>
      <c r="F140" t="s">
        <v>383</v>
      </c>
      <c r="G140" t="str">
        <f>"201406011483"</f>
        <v>201406011483</v>
      </c>
      <c r="H140" t="s">
        <v>384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8</v>
      </c>
      <c r="AA140">
        <v>136</v>
      </c>
      <c r="AB140" t="s">
        <v>385</v>
      </c>
    </row>
    <row r="141" spans="1:28" x14ac:dyDescent="0.25">
      <c r="H141" t="s">
        <v>185</v>
      </c>
    </row>
    <row r="142" spans="1:28" x14ac:dyDescent="0.25">
      <c r="A142">
        <v>68</v>
      </c>
      <c r="B142">
        <v>3463</v>
      </c>
      <c r="C142" t="s">
        <v>386</v>
      </c>
      <c r="D142" t="s">
        <v>387</v>
      </c>
      <c r="E142" t="s">
        <v>50</v>
      </c>
      <c r="F142" t="s">
        <v>388</v>
      </c>
      <c r="G142" t="str">
        <f>"201406003165"</f>
        <v>201406003165</v>
      </c>
      <c r="H142" t="s">
        <v>389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50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20</v>
      </c>
      <c r="AA142">
        <v>340</v>
      </c>
      <c r="AB142" t="s">
        <v>390</v>
      </c>
    </row>
    <row r="143" spans="1:28" x14ac:dyDescent="0.25">
      <c r="H143" t="s">
        <v>391</v>
      </c>
    </row>
    <row r="144" spans="1:28" x14ac:dyDescent="0.25">
      <c r="A144">
        <v>69</v>
      </c>
      <c r="B144">
        <v>384</v>
      </c>
      <c r="C144" t="s">
        <v>392</v>
      </c>
      <c r="D144" t="s">
        <v>14</v>
      </c>
      <c r="E144" t="s">
        <v>393</v>
      </c>
      <c r="F144" t="s">
        <v>394</v>
      </c>
      <c r="G144" t="str">
        <f>"201402002647"</f>
        <v>201402002647</v>
      </c>
      <c r="H144" t="s">
        <v>395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50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14</v>
      </c>
      <c r="AA144">
        <v>238</v>
      </c>
      <c r="AB144" t="s">
        <v>396</v>
      </c>
    </row>
    <row r="145" spans="1:28" x14ac:dyDescent="0.25">
      <c r="H145" t="s">
        <v>397</v>
      </c>
    </row>
    <row r="146" spans="1:28" x14ac:dyDescent="0.25">
      <c r="A146">
        <v>70</v>
      </c>
      <c r="B146">
        <v>2976</v>
      </c>
      <c r="C146" t="s">
        <v>398</v>
      </c>
      <c r="D146" t="s">
        <v>187</v>
      </c>
      <c r="E146" t="s">
        <v>51</v>
      </c>
      <c r="F146" t="s">
        <v>399</v>
      </c>
      <c r="G146" t="str">
        <f>"201406014858"</f>
        <v>201406014858</v>
      </c>
      <c r="H146" t="s">
        <v>400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24</v>
      </c>
      <c r="AA146">
        <v>408</v>
      </c>
      <c r="AB146" t="s">
        <v>401</v>
      </c>
    </row>
    <row r="147" spans="1:28" x14ac:dyDescent="0.25">
      <c r="H147" t="s">
        <v>402</v>
      </c>
    </row>
    <row r="148" spans="1:28" x14ac:dyDescent="0.25">
      <c r="A148">
        <v>71</v>
      </c>
      <c r="B148">
        <v>4622</v>
      </c>
      <c r="C148" t="s">
        <v>403</v>
      </c>
      <c r="D148" t="s">
        <v>404</v>
      </c>
      <c r="E148" t="s">
        <v>405</v>
      </c>
      <c r="F148" t="s">
        <v>406</v>
      </c>
      <c r="G148" t="str">
        <f>"200802009218"</f>
        <v>200802009218</v>
      </c>
      <c r="H148" t="s">
        <v>407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50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>
        <v>0</v>
      </c>
      <c r="AB148" t="s">
        <v>408</v>
      </c>
    </row>
    <row r="149" spans="1:28" x14ac:dyDescent="0.25">
      <c r="H149" t="s">
        <v>409</v>
      </c>
    </row>
    <row r="150" spans="1:28" x14ac:dyDescent="0.25">
      <c r="A150">
        <v>72</v>
      </c>
      <c r="B150">
        <v>3621</v>
      </c>
      <c r="C150" t="s">
        <v>410</v>
      </c>
      <c r="D150" t="s">
        <v>14</v>
      </c>
      <c r="E150" t="s">
        <v>411</v>
      </c>
      <c r="F150" t="s">
        <v>412</v>
      </c>
      <c r="G150" t="str">
        <f>"201401000433"</f>
        <v>201401000433</v>
      </c>
      <c r="H150" t="s">
        <v>413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30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17</v>
      </c>
      <c r="AA150">
        <v>289</v>
      </c>
      <c r="AB150" t="s">
        <v>414</v>
      </c>
    </row>
    <row r="151" spans="1:28" x14ac:dyDescent="0.25">
      <c r="H151" t="s">
        <v>415</v>
      </c>
    </row>
    <row r="152" spans="1:28" x14ac:dyDescent="0.25">
      <c r="A152">
        <v>73</v>
      </c>
      <c r="B152">
        <v>3039</v>
      </c>
      <c r="C152" t="s">
        <v>416</v>
      </c>
      <c r="D152" t="s">
        <v>417</v>
      </c>
      <c r="E152" t="s">
        <v>51</v>
      </c>
      <c r="F152" t="s">
        <v>418</v>
      </c>
      <c r="G152" t="str">
        <f>"201406000046"</f>
        <v>201406000046</v>
      </c>
      <c r="H152" t="s">
        <v>419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50</v>
      </c>
      <c r="Q152">
        <v>0</v>
      </c>
      <c r="R152">
        <v>30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>
        <v>0</v>
      </c>
      <c r="AB152" t="s">
        <v>420</v>
      </c>
    </row>
    <row r="153" spans="1:28" x14ac:dyDescent="0.25">
      <c r="H153" t="s">
        <v>421</v>
      </c>
    </row>
    <row r="154" spans="1:28" x14ac:dyDescent="0.25">
      <c r="A154">
        <v>74</v>
      </c>
      <c r="B154">
        <v>3151</v>
      </c>
      <c r="C154" t="s">
        <v>422</v>
      </c>
      <c r="D154" t="s">
        <v>423</v>
      </c>
      <c r="E154" t="s">
        <v>417</v>
      </c>
      <c r="F154" t="s">
        <v>424</v>
      </c>
      <c r="G154" t="str">
        <f>"201406017692"</f>
        <v>201406017692</v>
      </c>
      <c r="H154" t="s">
        <v>425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24</v>
      </c>
      <c r="AA154">
        <v>408</v>
      </c>
      <c r="AB154" t="s">
        <v>426</v>
      </c>
    </row>
    <row r="155" spans="1:28" x14ac:dyDescent="0.25">
      <c r="H155" t="s">
        <v>427</v>
      </c>
    </row>
    <row r="156" spans="1:28" x14ac:dyDescent="0.25">
      <c r="A156">
        <v>75</v>
      </c>
      <c r="B156">
        <v>2052</v>
      </c>
      <c r="C156" t="s">
        <v>428</v>
      </c>
      <c r="D156" t="s">
        <v>429</v>
      </c>
      <c r="E156" t="s">
        <v>430</v>
      </c>
      <c r="F156" t="s">
        <v>431</v>
      </c>
      <c r="G156" t="str">
        <f>"00323800"</f>
        <v>00323800</v>
      </c>
      <c r="H156">
        <v>869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70</v>
      </c>
      <c r="P156">
        <v>30</v>
      </c>
      <c r="Q156">
        <v>70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>
        <v>0</v>
      </c>
      <c r="AB156">
        <v>1309</v>
      </c>
    </row>
    <row r="157" spans="1:28" x14ac:dyDescent="0.25">
      <c r="H157" t="s">
        <v>432</v>
      </c>
    </row>
    <row r="158" spans="1:28" x14ac:dyDescent="0.25">
      <c r="A158">
        <v>76</v>
      </c>
      <c r="B158">
        <v>396</v>
      </c>
      <c r="C158" t="s">
        <v>433</v>
      </c>
      <c r="D158" t="s">
        <v>26</v>
      </c>
      <c r="E158" t="s">
        <v>80</v>
      </c>
      <c r="F158" t="s">
        <v>434</v>
      </c>
      <c r="G158" t="str">
        <f>"201406003309"</f>
        <v>201406003309</v>
      </c>
      <c r="H158">
        <v>792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70</v>
      </c>
      <c r="O158">
        <v>50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0</v>
      </c>
      <c r="Z158">
        <v>8</v>
      </c>
      <c r="AA158">
        <v>136</v>
      </c>
      <c r="AB158">
        <v>1308</v>
      </c>
    </row>
    <row r="159" spans="1:28" x14ac:dyDescent="0.25">
      <c r="H159" t="s">
        <v>435</v>
      </c>
    </row>
    <row r="160" spans="1:28" x14ac:dyDescent="0.25">
      <c r="A160">
        <v>77</v>
      </c>
      <c r="B160">
        <v>49</v>
      </c>
      <c r="C160" t="s">
        <v>436</v>
      </c>
      <c r="D160" t="s">
        <v>19</v>
      </c>
      <c r="E160" t="s">
        <v>51</v>
      </c>
      <c r="F160" t="s">
        <v>437</v>
      </c>
      <c r="G160" t="str">
        <f>"201303000168"</f>
        <v>201303000168</v>
      </c>
      <c r="H160" t="s">
        <v>438</v>
      </c>
      <c r="I160">
        <v>150</v>
      </c>
      <c r="J160">
        <v>0</v>
      </c>
      <c r="K160">
        <v>0</v>
      </c>
      <c r="L160">
        <v>260</v>
      </c>
      <c r="M160">
        <v>0</v>
      </c>
      <c r="N160">
        <v>70</v>
      </c>
      <c r="O160">
        <v>0</v>
      </c>
      <c r="P160">
        <v>0</v>
      </c>
      <c r="Q160">
        <v>50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>
        <v>0</v>
      </c>
      <c r="AB160" t="s">
        <v>439</v>
      </c>
    </row>
    <row r="161" spans="1:28" x14ac:dyDescent="0.25">
      <c r="H161" t="s">
        <v>440</v>
      </c>
    </row>
    <row r="162" spans="1:28" x14ac:dyDescent="0.25">
      <c r="A162">
        <v>78</v>
      </c>
      <c r="B162">
        <v>614</v>
      </c>
      <c r="C162" t="s">
        <v>441</v>
      </c>
      <c r="D162" t="s">
        <v>19</v>
      </c>
      <c r="E162" t="s">
        <v>154</v>
      </c>
      <c r="F162" t="s">
        <v>442</v>
      </c>
      <c r="G162" t="str">
        <f>"201406001610"</f>
        <v>201406001610</v>
      </c>
      <c r="H162" t="s">
        <v>395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50</v>
      </c>
      <c r="P162">
        <v>0</v>
      </c>
      <c r="Q162">
        <v>50</v>
      </c>
      <c r="R162">
        <v>50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8</v>
      </c>
      <c r="AA162">
        <v>136</v>
      </c>
      <c r="AB162" t="s">
        <v>443</v>
      </c>
    </row>
    <row r="163" spans="1:28" x14ac:dyDescent="0.25">
      <c r="H163" t="s">
        <v>444</v>
      </c>
    </row>
    <row r="164" spans="1:28" x14ac:dyDescent="0.25">
      <c r="A164">
        <v>79</v>
      </c>
      <c r="B164">
        <v>969</v>
      </c>
      <c r="C164" t="s">
        <v>445</v>
      </c>
      <c r="D164" t="s">
        <v>446</v>
      </c>
      <c r="E164" t="s">
        <v>14</v>
      </c>
      <c r="F164" t="s">
        <v>447</v>
      </c>
      <c r="G164" t="str">
        <f>"201304006213"</f>
        <v>201304006213</v>
      </c>
      <c r="H164" t="s">
        <v>448</v>
      </c>
      <c r="I164">
        <v>150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>
        <v>0</v>
      </c>
      <c r="AB164" t="s">
        <v>449</v>
      </c>
    </row>
    <row r="165" spans="1:28" x14ac:dyDescent="0.25">
      <c r="H165" t="s">
        <v>450</v>
      </c>
    </row>
    <row r="166" spans="1:28" x14ac:dyDescent="0.25">
      <c r="A166">
        <v>80</v>
      </c>
      <c r="B166">
        <v>3107</v>
      </c>
      <c r="C166" t="s">
        <v>451</v>
      </c>
      <c r="D166" t="s">
        <v>452</v>
      </c>
      <c r="E166" t="s">
        <v>51</v>
      </c>
      <c r="F166" t="s">
        <v>453</v>
      </c>
      <c r="G166" t="str">
        <f>"00137286"</f>
        <v>00137286</v>
      </c>
      <c r="H166" t="s">
        <v>454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0</v>
      </c>
      <c r="Z166">
        <v>0</v>
      </c>
      <c r="AA166">
        <v>0</v>
      </c>
      <c r="AB166" t="s">
        <v>455</v>
      </c>
    </row>
    <row r="167" spans="1:28" x14ac:dyDescent="0.25">
      <c r="H167" t="s">
        <v>456</v>
      </c>
    </row>
    <row r="168" spans="1:28" x14ac:dyDescent="0.25">
      <c r="A168">
        <v>81</v>
      </c>
      <c r="B168">
        <v>1730</v>
      </c>
      <c r="C168" t="s">
        <v>457</v>
      </c>
      <c r="D168" t="s">
        <v>458</v>
      </c>
      <c r="E168" t="s">
        <v>218</v>
      </c>
      <c r="F168" t="s">
        <v>459</v>
      </c>
      <c r="G168" t="str">
        <f>"00130536"</f>
        <v>00130536</v>
      </c>
      <c r="H168" t="s">
        <v>460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24</v>
      </c>
      <c r="AA168">
        <v>408</v>
      </c>
      <c r="AB168" t="s">
        <v>461</v>
      </c>
    </row>
    <row r="169" spans="1:28" x14ac:dyDescent="0.25">
      <c r="H169">
        <v>1009</v>
      </c>
    </row>
    <row r="170" spans="1:28" x14ac:dyDescent="0.25">
      <c r="A170">
        <v>82</v>
      </c>
      <c r="B170">
        <v>1258</v>
      </c>
      <c r="C170" t="s">
        <v>462</v>
      </c>
      <c r="D170" t="s">
        <v>362</v>
      </c>
      <c r="E170" t="s">
        <v>15</v>
      </c>
      <c r="F170" t="s">
        <v>463</v>
      </c>
      <c r="G170" t="str">
        <f>"201406012059"</f>
        <v>201406012059</v>
      </c>
      <c r="H170">
        <v>825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24</v>
      </c>
      <c r="AA170">
        <v>408</v>
      </c>
      <c r="AB170">
        <v>1283</v>
      </c>
    </row>
    <row r="171" spans="1:28" x14ac:dyDescent="0.25">
      <c r="H171" t="s">
        <v>464</v>
      </c>
    </row>
    <row r="172" spans="1:28" x14ac:dyDescent="0.25">
      <c r="A172">
        <v>83</v>
      </c>
      <c r="B172">
        <v>1832</v>
      </c>
      <c r="C172" t="s">
        <v>465</v>
      </c>
      <c r="D172" t="s">
        <v>466</v>
      </c>
      <c r="E172" t="s">
        <v>51</v>
      </c>
      <c r="F172" t="s">
        <v>467</v>
      </c>
      <c r="G172" t="str">
        <f>"00215121"</f>
        <v>00215121</v>
      </c>
      <c r="H172" t="s">
        <v>238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50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0</v>
      </c>
      <c r="Z172">
        <v>0</v>
      </c>
      <c r="AA172">
        <v>0</v>
      </c>
      <c r="AB172" t="s">
        <v>468</v>
      </c>
    </row>
    <row r="173" spans="1:28" x14ac:dyDescent="0.25">
      <c r="H173" t="s">
        <v>469</v>
      </c>
    </row>
    <row r="174" spans="1:28" x14ac:dyDescent="0.25">
      <c r="A174">
        <v>84</v>
      </c>
      <c r="B174">
        <v>1265</v>
      </c>
      <c r="C174" t="s">
        <v>470</v>
      </c>
      <c r="D174" t="s">
        <v>471</v>
      </c>
      <c r="E174" t="s">
        <v>39</v>
      </c>
      <c r="F174" t="s">
        <v>472</v>
      </c>
      <c r="G174" t="str">
        <f>"200801007434"</f>
        <v>200801007434</v>
      </c>
      <c r="H174" t="s">
        <v>299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70</v>
      </c>
      <c r="P174">
        <v>0</v>
      </c>
      <c r="Q174">
        <v>0</v>
      </c>
      <c r="R174">
        <v>70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>
        <v>0</v>
      </c>
      <c r="AB174" t="s">
        <v>473</v>
      </c>
    </row>
    <row r="175" spans="1:28" x14ac:dyDescent="0.25">
      <c r="H175" t="s">
        <v>474</v>
      </c>
    </row>
    <row r="176" spans="1:28" x14ac:dyDescent="0.25">
      <c r="A176">
        <v>85</v>
      </c>
      <c r="B176">
        <v>974</v>
      </c>
      <c r="C176" t="s">
        <v>475</v>
      </c>
      <c r="D176" t="s">
        <v>15</v>
      </c>
      <c r="E176" t="s">
        <v>14</v>
      </c>
      <c r="F176" t="s">
        <v>476</v>
      </c>
      <c r="G176" t="str">
        <f>"201402010985"</f>
        <v>201402010985</v>
      </c>
      <c r="H176" t="s">
        <v>438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30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1</v>
      </c>
      <c r="Y176">
        <v>0</v>
      </c>
      <c r="Z176">
        <v>12</v>
      </c>
      <c r="AA176">
        <v>204</v>
      </c>
      <c r="AB176" t="s">
        <v>477</v>
      </c>
    </row>
    <row r="177" spans="1:28" x14ac:dyDescent="0.25">
      <c r="H177" t="s">
        <v>478</v>
      </c>
    </row>
    <row r="178" spans="1:28" x14ac:dyDescent="0.25">
      <c r="A178">
        <v>86</v>
      </c>
      <c r="B178">
        <v>3948</v>
      </c>
      <c r="C178" t="s">
        <v>479</v>
      </c>
      <c r="D178" t="s">
        <v>480</v>
      </c>
      <c r="E178" t="s">
        <v>14</v>
      </c>
      <c r="F178" t="s">
        <v>481</v>
      </c>
      <c r="G178" t="str">
        <f>"00020472"</f>
        <v>00020472</v>
      </c>
      <c r="H178">
        <v>781</v>
      </c>
      <c r="I178">
        <v>150</v>
      </c>
      <c r="J178">
        <v>0</v>
      </c>
      <c r="K178">
        <v>0</v>
      </c>
      <c r="L178">
        <v>260</v>
      </c>
      <c r="M178">
        <v>0</v>
      </c>
      <c r="N178">
        <v>30</v>
      </c>
      <c r="O178">
        <v>0</v>
      </c>
      <c r="P178">
        <v>0</v>
      </c>
      <c r="Q178">
        <v>30</v>
      </c>
      <c r="R178">
        <v>0</v>
      </c>
      <c r="S178">
        <v>0</v>
      </c>
      <c r="T178">
        <v>30</v>
      </c>
      <c r="U178">
        <v>0</v>
      </c>
      <c r="V178">
        <v>0</v>
      </c>
      <c r="X178">
        <v>0</v>
      </c>
      <c r="Y178">
        <v>0</v>
      </c>
      <c r="Z178">
        <v>0</v>
      </c>
      <c r="AA178">
        <v>0</v>
      </c>
      <c r="AB178">
        <v>1281</v>
      </c>
    </row>
    <row r="179" spans="1:28" x14ac:dyDescent="0.25">
      <c r="H179">
        <v>1009</v>
      </c>
    </row>
    <row r="180" spans="1:28" x14ac:dyDescent="0.25">
      <c r="A180">
        <v>87</v>
      </c>
      <c r="B180">
        <v>3323</v>
      </c>
      <c r="C180" t="s">
        <v>482</v>
      </c>
      <c r="D180" t="s">
        <v>260</v>
      </c>
      <c r="E180" t="s">
        <v>20</v>
      </c>
      <c r="F180" t="s">
        <v>483</v>
      </c>
      <c r="G180" t="str">
        <f>"201406004995"</f>
        <v>201406004995</v>
      </c>
      <c r="H180" t="s">
        <v>484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30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21</v>
      </c>
      <c r="AA180">
        <v>357</v>
      </c>
      <c r="AB180" t="s">
        <v>485</v>
      </c>
    </row>
    <row r="181" spans="1:28" x14ac:dyDescent="0.25">
      <c r="H181" t="s">
        <v>486</v>
      </c>
    </row>
    <row r="182" spans="1:28" x14ac:dyDescent="0.25">
      <c r="A182">
        <v>88</v>
      </c>
      <c r="B182">
        <v>1873</v>
      </c>
      <c r="C182" t="s">
        <v>487</v>
      </c>
      <c r="D182" t="s">
        <v>488</v>
      </c>
      <c r="E182" t="s">
        <v>405</v>
      </c>
      <c r="F182" t="s">
        <v>489</v>
      </c>
      <c r="G182" t="str">
        <f>"200806000984"</f>
        <v>200806000984</v>
      </c>
      <c r="H182" t="s">
        <v>490</v>
      </c>
      <c r="I182">
        <v>0</v>
      </c>
      <c r="J182">
        <v>0</v>
      </c>
      <c r="K182">
        <v>0</v>
      </c>
      <c r="L182">
        <v>0</v>
      </c>
      <c r="M182">
        <v>100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24</v>
      </c>
      <c r="AA182">
        <v>408</v>
      </c>
      <c r="AB182" t="s">
        <v>491</v>
      </c>
    </row>
    <row r="183" spans="1:28" x14ac:dyDescent="0.25">
      <c r="H183" t="s">
        <v>492</v>
      </c>
    </row>
    <row r="184" spans="1:28" x14ac:dyDescent="0.25">
      <c r="A184">
        <v>89</v>
      </c>
      <c r="B184">
        <v>2195</v>
      </c>
      <c r="C184" t="s">
        <v>493</v>
      </c>
      <c r="D184" t="s">
        <v>494</v>
      </c>
      <c r="E184" t="s">
        <v>495</v>
      </c>
      <c r="F184" t="s">
        <v>496</v>
      </c>
      <c r="G184" t="str">
        <f>"200802003874"</f>
        <v>200802003874</v>
      </c>
      <c r="H184" t="s">
        <v>497</v>
      </c>
      <c r="I184">
        <v>150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>
        <v>0</v>
      </c>
      <c r="AB184" t="s">
        <v>498</v>
      </c>
    </row>
    <row r="185" spans="1:28" x14ac:dyDescent="0.25">
      <c r="H185" t="s">
        <v>499</v>
      </c>
    </row>
    <row r="186" spans="1:28" x14ac:dyDescent="0.25">
      <c r="A186">
        <v>90</v>
      </c>
      <c r="B186">
        <v>3555</v>
      </c>
      <c r="C186" t="s">
        <v>500</v>
      </c>
      <c r="D186" t="s">
        <v>501</v>
      </c>
      <c r="E186" t="s">
        <v>44</v>
      </c>
      <c r="F186" t="s">
        <v>502</v>
      </c>
      <c r="G186" t="str">
        <f>"201304000168"</f>
        <v>201304000168</v>
      </c>
      <c r="H186" t="s">
        <v>503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50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5</v>
      </c>
      <c r="AA186">
        <v>85</v>
      </c>
      <c r="AB186" t="s">
        <v>504</v>
      </c>
    </row>
    <row r="187" spans="1:28" x14ac:dyDescent="0.25">
      <c r="H187" t="s">
        <v>505</v>
      </c>
    </row>
    <row r="188" spans="1:28" x14ac:dyDescent="0.25">
      <c r="A188">
        <v>91</v>
      </c>
      <c r="B188">
        <v>4686</v>
      </c>
      <c r="C188" t="s">
        <v>506</v>
      </c>
      <c r="D188" t="s">
        <v>26</v>
      </c>
      <c r="E188" t="s">
        <v>155</v>
      </c>
      <c r="F188" t="s">
        <v>507</v>
      </c>
      <c r="G188" t="str">
        <f>"201402011780"</f>
        <v>201402011780</v>
      </c>
      <c r="H188" t="s">
        <v>508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9</v>
      </c>
      <c r="AA188">
        <v>153</v>
      </c>
      <c r="AB188" t="s">
        <v>509</v>
      </c>
    </row>
    <row r="189" spans="1:28" x14ac:dyDescent="0.25">
      <c r="H189" t="s">
        <v>510</v>
      </c>
    </row>
    <row r="190" spans="1:28" x14ac:dyDescent="0.25">
      <c r="A190">
        <v>92</v>
      </c>
      <c r="B190">
        <v>2516</v>
      </c>
      <c r="C190" t="s">
        <v>511</v>
      </c>
      <c r="D190" t="s">
        <v>50</v>
      </c>
      <c r="E190" t="s">
        <v>14</v>
      </c>
      <c r="F190" t="s">
        <v>512</v>
      </c>
      <c r="G190" t="str">
        <f>"00316299"</f>
        <v>00316299</v>
      </c>
      <c r="H190" t="s">
        <v>208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50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24</v>
      </c>
      <c r="AA190">
        <v>408</v>
      </c>
      <c r="AB190" t="s">
        <v>513</v>
      </c>
    </row>
    <row r="191" spans="1:28" x14ac:dyDescent="0.25">
      <c r="H191" t="s">
        <v>514</v>
      </c>
    </row>
    <row r="192" spans="1:28" x14ac:dyDescent="0.25">
      <c r="A192">
        <v>93</v>
      </c>
      <c r="B192">
        <v>1169</v>
      </c>
      <c r="C192" t="s">
        <v>515</v>
      </c>
      <c r="D192" t="s">
        <v>187</v>
      </c>
      <c r="E192" t="s">
        <v>155</v>
      </c>
      <c r="F192" t="s">
        <v>516</v>
      </c>
      <c r="G192" t="str">
        <f>"00085752"</f>
        <v>00085752</v>
      </c>
      <c r="H192">
        <v>792</v>
      </c>
      <c r="I192">
        <v>150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50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>
        <v>0</v>
      </c>
      <c r="AB192">
        <v>1262</v>
      </c>
    </row>
    <row r="193" spans="1:28" x14ac:dyDescent="0.25">
      <c r="H193" t="s">
        <v>60</v>
      </c>
    </row>
    <row r="194" spans="1:28" x14ac:dyDescent="0.25">
      <c r="A194">
        <v>94</v>
      </c>
      <c r="B194">
        <v>2700</v>
      </c>
      <c r="C194" t="s">
        <v>517</v>
      </c>
      <c r="D194" t="s">
        <v>518</v>
      </c>
      <c r="E194" t="s">
        <v>519</v>
      </c>
      <c r="F194" t="s">
        <v>520</v>
      </c>
      <c r="G194" t="str">
        <f>"200802006431"</f>
        <v>200802006431</v>
      </c>
      <c r="H194" t="s">
        <v>521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24</v>
      </c>
      <c r="AA194">
        <v>408</v>
      </c>
      <c r="AB194" t="s">
        <v>522</v>
      </c>
    </row>
    <row r="195" spans="1:28" x14ac:dyDescent="0.25">
      <c r="H195" t="s">
        <v>523</v>
      </c>
    </row>
    <row r="196" spans="1:28" x14ac:dyDescent="0.25">
      <c r="A196">
        <v>95</v>
      </c>
      <c r="B196">
        <v>1211</v>
      </c>
      <c r="C196" t="s">
        <v>524</v>
      </c>
      <c r="D196" t="s">
        <v>20</v>
      </c>
      <c r="E196" t="s">
        <v>218</v>
      </c>
      <c r="F196">
        <v>81544</v>
      </c>
      <c r="G196" t="str">
        <f>"00233548"</f>
        <v>00233548</v>
      </c>
      <c r="H196" t="s">
        <v>28</v>
      </c>
      <c r="I196">
        <v>150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>
        <v>0</v>
      </c>
      <c r="AB196" t="s">
        <v>525</v>
      </c>
    </row>
    <row r="197" spans="1:28" x14ac:dyDescent="0.25">
      <c r="H197" t="s">
        <v>526</v>
      </c>
    </row>
    <row r="198" spans="1:28" x14ac:dyDescent="0.25">
      <c r="A198">
        <v>96</v>
      </c>
      <c r="B198">
        <v>2438</v>
      </c>
      <c r="C198" t="s">
        <v>527</v>
      </c>
      <c r="D198" t="s">
        <v>26</v>
      </c>
      <c r="E198" t="s">
        <v>155</v>
      </c>
      <c r="F198" t="s">
        <v>528</v>
      </c>
      <c r="G198" t="str">
        <f>"201506001846"</f>
        <v>201506001846</v>
      </c>
      <c r="H198" t="s">
        <v>175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24</v>
      </c>
      <c r="AA198">
        <v>408</v>
      </c>
      <c r="AB198" t="s">
        <v>529</v>
      </c>
    </row>
    <row r="199" spans="1:28" x14ac:dyDescent="0.25">
      <c r="H199" t="s">
        <v>530</v>
      </c>
    </row>
    <row r="200" spans="1:28" x14ac:dyDescent="0.25">
      <c r="A200">
        <v>97</v>
      </c>
      <c r="B200">
        <v>445</v>
      </c>
      <c r="C200" t="s">
        <v>531</v>
      </c>
      <c r="D200" t="s">
        <v>138</v>
      </c>
      <c r="E200" t="s">
        <v>38</v>
      </c>
      <c r="F200" t="s">
        <v>532</v>
      </c>
      <c r="G200" t="str">
        <f>"201406007483"</f>
        <v>201406007483</v>
      </c>
      <c r="H200" t="s">
        <v>533</v>
      </c>
      <c r="I200">
        <v>150</v>
      </c>
      <c r="J200">
        <v>0</v>
      </c>
      <c r="K200">
        <v>0</v>
      </c>
      <c r="L200">
        <v>200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>
        <v>0</v>
      </c>
      <c r="AB200" t="s">
        <v>534</v>
      </c>
    </row>
    <row r="201" spans="1:28" x14ac:dyDescent="0.25">
      <c r="H201" t="s">
        <v>535</v>
      </c>
    </row>
    <row r="202" spans="1:28" x14ac:dyDescent="0.25">
      <c r="A202">
        <v>98</v>
      </c>
      <c r="B202">
        <v>4704</v>
      </c>
      <c r="C202" t="s">
        <v>536</v>
      </c>
      <c r="D202" t="s">
        <v>387</v>
      </c>
      <c r="E202" t="s">
        <v>80</v>
      </c>
      <c r="F202" t="s">
        <v>537</v>
      </c>
      <c r="G202" t="str">
        <f>"201406006277"</f>
        <v>201406006277</v>
      </c>
      <c r="H202" t="s">
        <v>538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>
        <v>0</v>
      </c>
      <c r="AB202" t="s">
        <v>539</v>
      </c>
    </row>
    <row r="203" spans="1:28" x14ac:dyDescent="0.25">
      <c r="H203" t="s">
        <v>540</v>
      </c>
    </row>
    <row r="204" spans="1:28" x14ac:dyDescent="0.25">
      <c r="A204">
        <v>99</v>
      </c>
      <c r="B204">
        <v>3769</v>
      </c>
      <c r="C204" t="s">
        <v>541</v>
      </c>
      <c r="D204" t="s">
        <v>542</v>
      </c>
      <c r="E204" t="s">
        <v>543</v>
      </c>
      <c r="F204" t="s">
        <v>544</v>
      </c>
      <c r="G204" t="str">
        <f>"00129236"</f>
        <v>00129236</v>
      </c>
      <c r="H204">
        <v>935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50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>
        <v>0</v>
      </c>
      <c r="AB204">
        <v>1255</v>
      </c>
    </row>
    <row r="205" spans="1:28" x14ac:dyDescent="0.25">
      <c r="H205" t="s">
        <v>545</v>
      </c>
    </row>
    <row r="206" spans="1:28" x14ac:dyDescent="0.25">
      <c r="A206">
        <v>100</v>
      </c>
      <c r="B206">
        <v>3043</v>
      </c>
      <c r="C206" t="s">
        <v>186</v>
      </c>
      <c r="D206" t="s">
        <v>187</v>
      </c>
      <c r="E206" t="s">
        <v>80</v>
      </c>
      <c r="F206" t="s">
        <v>546</v>
      </c>
      <c r="G206" t="str">
        <f>"00022533"</f>
        <v>00022533</v>
      </c>
      <c r="H206" t="s">
        <v>497</v>
      </c>
      <c r="I206">
        <v>150</v>
      </c>
      <c r="J206">
        <v>0</v>
      </c>
      <c r="K206">
        <v>0</v>
      </c>
      <c r="L206">
        <v>0</v>
      </c>
      <c r="M206">
        <v>100</v>
      </c>
      <c r="N206">
        <v>70</v>
      </c>
      <c r="O206">
        <v>0</v>
      </c>
      <c r="P206">
        <v>0</v>
      </c>
      <c r="Q206">
        <v>50</v>
      </c>
      <c r="R206">
        <v>0</v>
      </c>
      <c r="S206">
        <v>0</v>
      </c>
      <c r="T206">
        <v>0</v>
      </c>
      <c r="U206">
        <v>30</v>
      </c>
      <c r="V206">
        <v>0</v>
      </c>
      <c r="X206">
        <v>0</v>
      </c>
      <c r="Y206">
        <v>0</v>
      </c>
      <c r="Z206">
        <v>0</v>
      </c>
      <c r="AA206">
        <v>0</v>
      </c>
      <c r="AB206" t="s">
        <v>547</v>
      </c>
    </row>
    <row r="207" spans="1:28" x14ac:dyDescent="0.25">
      <c r="H207" t="s">
        <v>548</v>
      </c>
    </row>
    <row r="208" spans="1:28" x14ac:dyDescent="0.25">
      <c r="A208">
        <v>101</v>
      </c>
      <c r="B208">
        <v>5363</v>
      </c>
      <c r="C208" t="s">
        <v>549</v>
      </c>
      <c r="D208" t="s">
        <v>550</v>
      </c>
      <c r="E208" t="s">
        <v>14</v>
      </c>
      <c r="F208" t="s">
        <v>551</v>
      </c>
      <c r="G208" t="str">
        <f>"201506000530"</f>
        <v>201506000530</v>
      </c>
      <c r="H208" t="s">
        <v>243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50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24</v>
      </c>
      <c r="AA208">
        <v>408</v>
      </c>
      <c r="AB208" t="s">
        <v>552</v>
      </c>
    </row>
    <row r="209" spans="1:28" x14ac:dyDescent="0.25">
      <c r="H209" t="s">
        <v>553</v>
      </c>
    </row>
    <row r="210" spans="1:28" x14ac:dyDescent="0.25">
      <c r="A210">
        <v>102</v>
      </c>
      <c r="B210">
        <v>4327</v>
      </c>
      <c r="C210" t="s">
        <v>554</v>
      </c>
      <c r="D210" t="s">
        <v>555</v>
      </c>
      <c r="E210" t="s">
        <v>20</v>
      </c>
      <c r="F210" t="s">
        <v>556</v>
      </c>
      <c r="G210" t="str">
        <f>"201405001511"</f>
        <v>201405001511</v>
      </c>
      <c r="H210" t="s">
        <v>557</v>
      </c>
      <c r="I210">
        <v>150</v>
      </c>
      <c r="J210">
        <v>0</v>
      </c>
      <c r="K210">
        <v>0</v>
      </c>
      <c r="L210">
        <v>200</v>
      </c>
      <c r="M210">
        <v>30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>
        <v>0</v>
      </c>
      <c r="AB210" t="s">
        <v>558</v>
      </c>
    </row>
    <row r="211" spans="1:28" x14ac:dyDescent="0.25">
      <c r="H211" t="s">
        <v>559</v>
      </c>
    </row>
    <row r="212" spans="1:28" x14ac:dyDescent="0.25">
      <c r="A212">
        <v>103</v>
      </c>
      <c r="B212">
        <v>3425</v>
      </c>
      <c r="C212" t="s">
        <v>445</v>
      </c>
      <c r="D212" t="s">
        <v>560</v>
      </c>
      <c r="E212" t="s">
        <v>44</v>
      </c>
      <c r="F212" t="s">
        <v>561</v>
      </c>
      <c r="G212" t="str">
        <f>"200801003064"</f>
        <v>200801003064</v>
      </c>
      <c r="H212" t="s">
        <v>562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20</v>
      </c>
      <c r="AA212">
        <v>340</v>
      </c>
      <c r="AB212" t="s">
        <v>563</v>
      </c>
    </row>
    <row r="213" spans="1:28" x14ac:dyDescent="0.25">
      <c r="H213" t="s">
        <v>564</v>
      </c>
    </row>
    <row r="214" spans="1:28" x14ac:dyDescent="0.25">
      <c r="A214">
        <v>104</v>
      </c>
      <c r="B214">
        <v>3116</v>
      </c>
      <c r="C214" t="s">
        <v>565</v>
      </c>
      <c r="D214" t="s">
        <v>566</v>
      </c>
      <c r="E214" t="s">
        <v>44</v>
      </c>
      <c r="F214" t="s">
        <v>567</v>
      </c>
      <c r="G214" t="str">
        <f>"201506001838"</f>
        <v>201506001838</v>
      </c>
      <c r="H214" t="s">
        <v>568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24</v>
      </c>
      <c r="AA214">
        <v>408</v>
      </c>
      <c r="AB214" t="s">
        <v>569</v>
      </c>
    </row>
    <row r="215" spans="1:28" x14ac:dyDescent="0.25">
      <c r="H215" t="s">
        <v>570</v>
      </c>
    </row>
    <row r="216" spans="1:28" x14ac:dyDescent="0.25">
      <c r="A216">
        <v>105</v>
      </c>
      <c r="B216">
        <v>5033</v>
      </c>
      <c r="C216" t="s">
        <v>571</v>
      </c>
      <c r="D216" t="s">
        <v>50</v>
      </c>
      <c r="E216" t="s">
        <v>39</v>
      </c>
      <c r="F216" t="s">
        <v>572</v>
      </c>
      <c r="G216" t="str">
        <f>"201402009124"</f>
        <v>201402009124</v>
      </c>
      <c r="H216" t="s">
        <v>573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24</v>
      </c>
      <c r="AA216">
        <v>408</v>
      </c>
      <c r="AB216" t="s">
        <v>574</v>
      </c>
    </row>
    <row r="217" spans="1:28" x14ac:dyDescent="0.25">
      <c r="H217" t="s">
        <v>575</v>
      </c>
    </row>
    <row r="218" spans="1:28" x14ac:dyDescent="0.25">
      <c r="A218">
        <v>106</v>
      </c>
      <c r="B218">
        <v>1186</v>
      </c>
      <c r="C218" t="s">
        <v>576</v>
      </c>
      <c r="D218" t="s">
        <v>306</v>
      </c>
      <c r="E218" t="s">
        <v>577</v>
      </c>
      <c r="F218" t="s">
        <v>578</v>
      </c>
      <c r="G218" t="str">
        <f>"201406009464"</f>
        <v>201406009464</v>
      </c>
      <c r="H218" t="s">
        <v>352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50</v>
      </c>
      <c r="Q218">
        <v>0</v>
      </c>
      <c r="R218">
        <v>30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>
        <v>0</v>
      </c>
      <c r="AB218" t="s">
        <v>579</v>
      </c>
    </row>
    <row r="219" spans="1:28" x14ac:dyDescent="0.25">
      <c r="H219" t="s">
        <v>580</v>
      </c>
    </row>
    <row r="220" spans="1:28" x14ac:dyDescent="0.25">
      <c r="A220">
        <v>107</v>
      </c>
      <c r="B220">
        <v>1707</v>
      </c>
      <c r="C220" t="s">
        <v>581</v>
      </c>
      <c r="D220" t="s">
        <v>50</v>
      </c>
      <c r="E220" t="s">
        <v>20</v>
      </c>
      <c r="F220" t="s">
        <v>582</v>
      </c>
      <c r="G220" t="str">
        <f>"00277197"</f>
        <v>00277197</v>
      </c>
      <c r="H220" t="s">
        <v>583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50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24</v>
      </c>
      <c r="AA220">
        <v>408</v>
      </c>
      <c r="AB220" t="s">
        <v>584</v>
      </c>
    </row>
    <row r="221" spans="1:28" x14ac:dyDescent="0.25">
      <c r="H221" t="s">
        <v>585</v>
      </c>
    </row>
    <row r="222" spans="1:28" x14ac:dyDescent="0.25">
      <c r="A222">
        <v>108</v>
      </c>
      <c r="B222">
        <v>1564</v>
      </c>
      <c r="C222" t="s">
        <v>586</v>
      </c>
      <c r="D222" t="s">
        <v>587</v>
      </c>
      <c r="E222" t="s">
        <v>80</v>
      </c>
      <c r="F222" t="s">
        <v>588</v>
      </c>
      <c r="G222" t="str">
        <f>"201405001042"</f>
        <v>201405001042</v>
      </c>
      <c r="H222" t="s">
        <v>568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X222">
        <v>0</v>
      </c>
      <c r="Y222">
        <v>0</v>
      </c>
      <c r="Z222">
        <v>12</v>
      </c>
      <c r="AA222">
        <v>204</v>
      </c>
      <c r="AB222" t="s">
        <v>589</v>
      </c>
    </row>
    <row r="223" spans="1:28" x14ac:dyDescent="0.25">
      <c r="H223" t="s">
        <v>590</v>
      </c>
    </row>
    <row r="224" spans="1:28" x14ac:dyDescent="0.25">
      <c r="A224">
        <v>109</v>
      </c>
      <c r="B224">
        <v>2728</v>
      </c>
      <c r="C224" t="s">
        <v>591</v>
      </c>
      <c r="D224" t="s">
        <v>51</v>
      </c>
      <c r="E224" t="s">
        <v>14</v>
      </c>
      <c r="F224" t="s">
        <v>592</v>
      </c>
      <c r="G224" t="str">
        <f>"00363172"</f>
        <v>00363172</v>
      </c>
      <c r="H224">
        <v>792</v>
      </c>
      <c r="I224">
        <v>150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30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>
        <v>0</v>
      </c>
      <c r="AB224">
        <v>1242</v>
      </c>
    </row>
    <row r="225" spans="1:28" x14ac:dyDescent="0.25">
      <c r="H225" t="s">
        <v>593</v>
      </c>
    </row>
    <row r="226" spans="1:28" x14ac:dyDescent="0.25">
      <c r="A226">
        <v>110</v>
      </c>
      <c r="B226">
        <v>4036</v>
      </c>
      <c r="C226" t="s">
        <v>594</v>
      </c>
      <c r="D226" t="s">
        <v>595</v>
      </c>
      <c r="E226" t="s">
        <v>218</v>
      </c>
      <c r="F226" t="s">
        <v>596</v>
      </c>
      <c r="G226" t="str">
        <f>"00113333"</f>
        <v>00113333</v>
      </c>
      <c r="H226" t="s">
        <v>597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0</v>
      </c>
      <c r="Z226">
        <v>0</v>
      </c>
      <c r="AA226">
        <v>0</v>
      </c>
      <c r="AB226" t="s">
        <v>598</v>
      </c>
    </row>
    <row r="227" spans="1:28" x14ac:dyDescent="0.25">
      <c r="H227" t="s">
        <v>599</v>
      </c>
    </row>
    <row r="228" spans="1:28" x14ac:dyDescent="0.25">
      <c r="A228">
        <v>111</v>
      </c>
      <c r="B228">
        <v>1827</v>
      </c>
      <c r="C228" t="s">
        <v>600</v>
      </c>
      <c r="D228" t="s">
        <v>183</v>
      </c>
      <c r="E228" t="s">
        <v>601</v>
      </c>
      <c r="F228" t="s">
        <v>602</v>
      </c>
      <c r="G228" t="str">
        <f>"200802008327"</f>
        <v>200802008327</v>
      </c>
      <c r="H228" t="s">
        <v>603</v>
      </c>
      <c r="I228">
        <v>0</v>
      </c>
      <c r="J228">
        <v>0</v>
      </c>
      <c r="K228">
        <v>0</v>
      </c>
      <c r="L228">
        <v>200</v>
      </c>
      <c r="M228">
        <v>0</v>
      </c>
      <c r="N228">
        <v>70</v>
      </c>
      <c r="O228">
        <v>70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>
        <v>0</v>
      </c>
      <c r="AB228" t="s">
        <v>604</v>
      </c>
    </row>
    <row r="229" spans="1:28" x14ac:dyDescent="0.25">
      <c r="H229" t="s">
        <v>605</v>
      </c>
    </row>
    <row r="230" spans="1:28" x14ac:dyDescent="0.25">
      <c r="A230">
        <v>112</v>
      </c>
      <c r="B230">
        <v>284</v>
      </c>
      <c r="C230" t="s">
        <v>606</v>
      </c>
      <c r="D230" t="s">
        <v>26</v>
      </c>
      <c r="E230" t="s">
        <v>14</v>
      </c>
      <c r="F230" t="s">
        <v>607</v>
      </c>
      <c r="G230" t="str">
        <f>"200901000203"</f>
        <v>200901000203</v>
      </c>
      <c r="H230" t="s">
        <v>608</v>
      </c>
      <c r="I230">
        <v>150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30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>
        <v>0</v>
      </c>
      <c r="AB230" t="s">
        <v>604</v>
      </c>
    </row>
    <row r="231" spans="1:28" x14ac:dyDescent="0.25">
      <c r="H231" t="s">
        <v>609</v>
      </c>
    </row>
    <row r="232" spans="1:28" x14ac:dyDescent="0.25">
      <c r="A232">
        <v>113</v>
      </c>
      <c r="B232">
        <v>4123</v>
      </c>
      <c r="C232" t="s">
        <v>610</v>
      </c>
      <c r="D232" t="s">
        <v>362</v>
      </c>
      <c r="E232" t="s">
        <v>80</v>
      </c>
      <c r="F232" t="s">
        <v>611</v>
      </c>
      <c r="G232" t="str">
        <f>"00123518"</f>
        <v>00123518</v>
      </c>
      <c r="H232">
        <v>759</v>
      </c>
      <c r="I232">
        <v>150</v>
      </c>
      <c r="J232">
        <v>0</v>
      </c>
      <c r="K232">
        <v>0</v>
      </c>
      <c r="L232">
        <v>200</v>
      </c>
      <c r="M232">
        <v>30</v>
      </c>
      <c r="N232">
        <v>70</v>
      </c>
      <c r="O232">
        <v>0</v>
      </c>
      <c r="P232">
        <v>0</v>
      </c>
      <c r="Q232">
        <v>0</v>
      </c>
      <c r="R232">
        <v>30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>
        <v>0</v>
      </c>
      <c r="AB232">
        <v>1239</v>
      </c>
    </row>
    <row r="233" spans="1:28" x14ac:dyDescent="0.25">
      <c r="H233">
        <v>1009</v>
      </c>
    </row>
    <row r="234" spans="1:28" x14ac:dyDescent="0.25">
      <c r="A234">
        <v>114</v>
      </c>
      <c r="B234">
        <v>4611</v>
      </c>
      <c r="C234" t="s">
        <v>612</v>
      </c>
      <c r="D234" t="s">
        <v>26</v>
      </c>
      <c r="E234" t="s">
        <v>51</v>
      </c>
      <c r="F234" t="s">
        <v>613</v>
      </c>
      <c r="G234" t="str">
        <f>"201506003701"</f>
        <v>201506003701</v>
      </c>
      <c r="H234" t="s">
        <v>614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30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>
        <v>0</v>
      </c>
      <c r="AB234" t="s">
        <v>615</v>
      </c>
    </row>
    <row r="235" spans="1:28" x14ac:dyDescent="0.25">
      <c r="H235" t="s">
        <v>616</v>
      </c>
    </row>
    <row r="236" spans="1:28" x14ac:dyDescent="0.25">
      <c r="A236">
        <v>115</v>
      </c>
      <c r="B236">
        <v>3762</v>
      </c>
      <c r="C236" t="s">
        <v>83</v>
      </c>
      <c r="D236" t="s">
        <v>303</v>
      </c>
      <c r="E236" t="s">
        <v>14</v>
      </c>
      <c r="F236" t="s">
        <v>617</v>
      </c>
      <c r="G236" t="str">
        <f>"201506000521"</f>
        <v>201506000521</v>
      </c>
      <c r="H236" t="s">
        <v>175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50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24</v>
      </c>
      <c r="AA236">
        <v>408</v>
      </c>
      <c r="AB236" t="s">
        <v>618</v>
      </c>
    </row>
    <row r="237" spans="1:28" x14ac:dyDescent="0.25">
      <c r="H237" t="s">
        <v>514</v>
      </c>
    </row>
    <row r="238" spans="1:28" x14ac:dyDescent="0.25">
      <c r="A238">
        <v>116</v>
      </c>
      <c r="B238">
        <v>3824</v>
      </c>
      <c r="C238" t="s">
        <v>619</v>
      </c>
      <c r="D238" t="s">
        <v>366</v>
      </c>
      <c r="E238" t="s">
        <v>154</v>
      </c>
      <c r="F238" t="s">
        <v>620</v>
      </c>
      <c r="G238" t="str">
        <f>"201304000473"</f>
        <v>201304000473</v>
      </c>
      <c r="H238" t="s">
        <v>621</v>
      </c>
      <c r="I238">
        <v>0</v>
      </c>
      <c r="J238">
        <v>0</v>
      </c>
      <c r="K238">
        <v>0</v>
      </c>
      <c r="L238">
        <v>200</v>
      </c>
      <c r="M238">
        <v>30</v>
      </c>
      <c r="N238">
        <v>70</v>
      </c>
      <c r="O238">
        <v>50</v>
      </c>
      <c r="P238">
        <v>0</v>
      </c>
      <c r="Q238">
        <v>0</v>
      </c>
      <c r="R238">
        <v>30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>
        <v>0</v>
      </c>
      <c r="AB238" t="s">
        <v>622</v>
      </c>
    </row>
    <row r="239" spans="1:28" x14ac:dyDescent="0.25">
      <c r="H239" t="s">
        <v>623</v>
      </c>
    </row>
    <row r="240" spans="1:28" x14ac:dyDescent="0.25">
      <c r="A240">
        <v>117</v>
      </c>
      <c r="B240">
        <v>2707</v>
      </c>
      <c r="C240" t="s">
        <v>624</v>
      </c>
      <c r="D240" t="s">
        <v>51</v>
      </c>
      <c r="E240" t="s">
        <v>20</v>
      </c>
      <c r="F240" t="s">
        <v>625</v>
      </c>
      <c r="G240" t="str">
        <f>"201406001092"</f>
        <v>201406001092</v>
      </c>
      <c r="H240" t="s">
        <v>299</v>
      </c>
      <c r="I240">
        <v>0</v>
      </c>
      <c r="J240">
        <v>0</v>
      </c>
      <c r="K240">
        <v>0</v>
      </c>
      <c r="L240">
        <v>260</v>
      </c>
      <c r="M240">
        <v>0</v>
      </c>
      <c r="N240">
        <v>70</v>
      </c>
      <c r="O240">
        <v>0</v>
      </c>
      <c r="P240">
        <v>0</v>
      </c>
      <c r="Q240">
        <v>30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>
        <v>0</v>
      </c>
      <c r="AB240" t="s">
        <v>626</v>
      </c>
    </row>
    <row r="241" spans="1:28" x14ac:dyDescent="0.25">
      <c r="H241" t="s">
        <v>627</v>
      </c>
    </row>
    <row r="242" spans="1:28" x14ac:dyDescent="0.25">
      <c r="A242">
        <v>118</v>
      </c>
      <c r="B242">
        <v>2541</v>
      </c>
      <c r="C242" t="s">
        <v>628</v>
      </c>
      <c r="D242" t="s">
        <v>43</v>
      </c>
      <c r="E242" t="s">
        <v>44</v>
      </c>
      <c r="F242" t="s">
        <v>629</v>
      </c>
      <c r="G242" t="str">
        <f>"00013348"</f>
        <v>00013348</v>
      </c>
      <c r="H242" t="s">
        <v>330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30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24</v>
      </c>
      <c r="AA242">
        <v>408</v>
      </c>
      <c r="AB242" t="s">
        <v>630</v>
      </c>
    </row>
    <row r="243" spans="1:28" x14ac:dyDescent="0.25">
      <c r="H243" t="s">
        <v>631</v>
      </c>
    </row>
    <row r="244" spans="1:28" x14ac:dyDescent="0.25">
      <c r="A244">
        <v>119</v>
      </c>
      <c r="B244">
        <v>4339</v>
      </c>
      <c r="C244" t="s">
        <v>632</v>
      </c>
      <c r="D244" t="s">
        <v>80</v>
      </c>
      <c r="E244" t="s">
        <v>38</v>
      </c>
      <c r="F244" t="s">
        <v>633</v>
      </c>
      <c r="G244" t="str">
        <f>"00116358"</f>
        <v>00116358</v>
      </c>
      <c r="H244">
        <v>880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50</v>
      </c>
      <c r="O244">
        <v>0</v>
      </c>
      <c r="P244">
        <v>30</v>
      </c>
      <c r="Q244">
        <v>0</v>
      </c>
      <c r="R244">
        <v>0</v>
      </c>
      <c r="S244">
        <v>0</v>
      </c>
      <c r="T244">
        <v>70</v>
      </c>
      <c r="U244">
        <v>0</v>
      </c>
      <c r="V244">
        <v>0</v>
      </c>
      <c r="X244">
        <v>0</v>
      </c>
      <c r="Y244">
        <v>0</v>
      </c>
      <c r="Z244">
        <v>0</v>
      </c>
      <c r="AA244">
        <v>0</v>
      </c>
      <c r="AB244">
        <v>1230</v>
      </c>
    </row>
    <row r="245" spans="1:28" x14ac:dyDescent="0.25">
      <c r="H245">
        <v>1009</v>
      </c>
    </row>
    <row r="246" spans="1:28" x14ac:dyDescent="0.25">
      <c r="A246">
        <v>120</v>
      </c>
      <c r="B246">
        <v>1737</v>
      </c>
      <c r="C246" t="s">
        <v>634</v>
      </c>
      <c r="D246" t="s">
        <v>26</v>
      </c>
      <c r="E246" t="s">
        <v>635</v>
      </c>
      <c r="F246" t="s">
        <v>636</v>
      </c>
      <c r="G246" t="str">
        <f>"00119163"</f>
        <v>00119163</v>
      </c>
      <c r="H246" t="s">
        <v>163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30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7</v>
      </c>
      <c r="AA246">
        <v>119</v>
      </c>
      <c r="AB246" t="s">
        <v>637</v>
      </c>
    </row>
    <row r="247" spans="1:28" x14ac:dyDescent="0.25">
      <c r="H247" t="s">
        <v>638</v>
      </c>
    </row>
    <row r="248" spans="1:28" x14ac:dyDescent="0.25">
      <c r="A248">
        <v>121</v>
      </c>
      <c r="B248">
        <v>3417</v>
      </c>
      <c r="C248" t="s">
        <v>639</v>
      </c>
      <c r="D248" t="s">
        <v>80</v>
      </c>
      <c r="E248" t="s">
        <v>640</v>
      </c>
      <c r="F248">
        <v>21199493</v>
      </c>
      <c r="G248" t="str">
        <f>"00235775"</f>
        <v>00235775</v>
      </c>
      <c r="H248" t="s">
        <v>641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>
        <v>0</v>
      </c>
      <c r="AB248" t="s">
        <v>642</v>
      </c>
    </row>
    <row r="249" spans="1:28" x14ac:dyDescent="0.25">
      <c r="H249" t="s">
        <v>643</v>
      </c>
    </row>
    <row r="250" spans="1:28" x14ac:dyDescent="0.25">
      <c r="A250">
        <v>122</v>
      </c>
      <c r="B250">
        <v>3636</v>
      </c>
      <c r="C250" t="s">
        <v>644</v>
      </c>
      <c r="D250" t="s">
        <v>187</v>
      </c>
      <c r="E250" t="s">
        <v>98</v>
      </c>
      <c r="F250" t="s">
        <v>645</v>
      </c>
      <c r="G250" t="str">
        <f>"201304003571"</f>
        <v>201304003571</v>
      </c>
      <c r="H250" t="s">
        <v>646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24</v>
      </c>
      <c r="AA250">
        <v>408</v>
      </c>
      <c r="AB250" t="s">
        <v>647</v>
      </c>
    </row>
    <row r="251" spans="1:28" x14ac:dyDescent="0.25">
      <c r="H251" t="s">
        <v>409</v>
      </c>
    </row>
    <row r="252" spans="1:28" x14ac:dyDescent="0.25">
      <c r="A252">
        <v>123</v>
      </c>
      <c r="B252">
        <v>4760</v>
      </c>
      <c r="C252" t="s">
        <v>648</v>
      </c>
      <c r="D252" t="s">
        <v>649</v>
      </c>
      <c r="E252" t="s">
        <v>38</v>
      </c>
      <c r="F252" t="s">
        <v>650</v>
      </c>
      <c r="G252" t="str">
        <f>"200801003458"</f>
        <v>200801003458</v>
      </c>
      <c r="H252" t="s">
        <v>53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50</v>
      </c>
      <c r="O252">
        <v>50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>
        <v>0</v>
      </c>
      <c r="AB252" t="s">
        <v>651</v>
      </c>
    </row>
    <row r="253" spans="1:28" x14ac:dyDescent="0.25">
      <c r="H253" t="s">
        <v>409</v>
      </c>
    </row>
    <row r="254" spans="1:28" x14ac:dyDescent="0.25">
      <c r="A254">
        <v>124</v>
      </c>
      <c r="B254">
        <v>2584</v>
      </c>
      <c r="C254" t="s">
        <v>652</v>
      </c>
      <c r="D254" t="s">
        <v>50</v>
      </c>
      <c r="E254" t="s">
        <v>653</v>
      </c>
      <c r="F254" t="s">
        <v>654</v>
      </c>
      <c r="G254" t="str">
        <f>"200712004672"</f>
        <v>200712004672</v>
      </c>
      <c r="H254">
        <v>770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30</v>
      </c>
      <c r="P254">
        <v>0</v>
      </c>
      <c r="Q254">
        <v>0</v>
      </c>
      <c r="R254">
        <v>0</v>
      </c>
      <c r="S254">
        <v>70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5</v>
      </c>
      <c r="AA254">
        <v>85</v>
      </c>
      <c r="AB254">
        <v>1225</v>
      </c>
    </row>
    <row r="255" spans="1:28" x14ac:dyDescent="0.25">
      <c r="H255" t="s">
        <v>655</v>
      </c>
    </row>
    <row r="256" spans="1:28" x14ac:dyDescent="0.25">
      <c r="A256">
        <v>125</v>
      </c>
      <c r="B256">
        <v>3571</v>
      </c>
      <c r="C256" t="s">
        <v>656</v>
      </c>
      <c r="D256" t="s">
        <v>26</v>
      </c>
      <c r="E256" t="s">
        <v>657</v>
      </c>
      <c r="F256" t="s">
        <v>658</v>
      </c>
      <c r="G256" t="str">
        <f>"201406011348"</f>
        <v>201406011348</v>
      </c>
      <c r="H256" t="s">
        <v>659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50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>
        <v>0</v>
      </c>
      <c r="AB256" t="s">
        <v>660</v>
      </c>
    </row>
    <row r="257" spans="1:28" x14ac:dyDescent="0.25">
      <c r="H257" t="s">
        <v>661</v>
      </c>
    </row>
    <row r="258" spans="1:28" x14ac:dyDescent="0.25">
      <c r="A258">
        <v>126</v>
      </c>
      <c r="B258">
        <v>1750</v>
      </c>
      <c r="C258" t="s">
        <v>662</v>
      </c>
      <c r="D258" t="s">
        <v>663</v>
      </c>
      <c r="E258" t="s">
        <v>20</v>
      </c>
      <c r="F258" t="s">
        <v>664</v>
      </c>
      <c r="G258" t="str">
        <f>"201304004611"</f>
        <v>201304004611</v>
      </c>
      <c r="H258" t="s">
        <v>665</v>
      </c>
      <c r="I258">
        <v>150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0</v>
      </c>
      <c r="Z258">
        <v>0</v>
      </c>
      <c r="AA258">
        <v>0</v>
      </c>
      <c r="AB258" t="s">
        <v>666</v>
      </c>
    </row>
    <row r="259" spans="1:28" x14ac:dyDescent="0.25">
      <c r="H259" t="s">
        <v>667</v>
      </c>
    </row>
    <row r="260" spans="1:28" x14ac:dyDescent="0.25">
      <c r="A260">
        <v>127</v>
      </c>
      <c r="B260">
        <v>4842</v>
      </c>
      <c r="C260" t="s">
        <v>668</v>
      </c>
      <c r="D260" t="s">
        <v>306</v>
      </c>
      <c r="E260" t="s">
        <v>14</v>
      </c>
      <c r="F260" t="s">
        <v>669</v>
      </c>
      <c r="G260" t="str">
        <f>"201410006017"</f>
        <v>201410006017</v>
      </c>
      <c r="H260" t="s">
        <v>670</v>
      </c>
      <c r="I260">
        <v>0</v>
      </c>
      <c r="J260">
        <v>0</v>
      </c>
      <c r="K260">
        <v>0</v>
      </c>
      <c r="L260">
        <v>0</v>
      </c>
      <c r="M260">
        <v>100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24</v>
      </c>
      <c r="AA260">
        <v>408</v>
      </c>
      <c r="AB260" t="s">
        <v>671</v>
      </c>
    </row>
    <row r="261" spans="1:28" x14ac:dyDescent="0.25">
      <c r="H261" t="s">
        <v>672</v>
      </c>
    </row>
    <row r="262" spans="1:28" x14ac:dyDescent="0.25">
      <c r="A262">
        <v>128</v>
      </c>
      <c r="B262">
        <v>1362</v>
      </c>
      <c r="C262" t="s">
        <v>673</v>
      </c>
      <c r="D262" t="s">
        <v>265</v>
      </c>
      <c r="E262" t="s">
        <v>44</v>
      </c>
      <c r="F262" t="s">
        <v>674</v>
      </c>
      <c r="G262" t="str">
        <f>"201306000013"</f>
        <v>201306000013</v>
      </c>
      <c r="H262" t="s">
        <v>490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24</v>
      </c>
      <c r="AA262">
        <v>408</v>
      </c>
      <c r="AB262" t="s">
        <v>675</v>
      </c>
    </row>
    <row r="263" spans="1:28" x14ac:dyDescent="0.25">
      <c r="H263" t="s">
        <v>676</v>
      </c>
    </row>
    <row r="264" spans="1:28" x14ac:dyDescent="0.25">
      <c r="A264">
        <v>129</v>
      </c>
      <c r="B264">
        <v>1251</v>
      </c>
      <c r="C264" t="s">
        <v>677</v>
      </c>
      <c r="D264" t="s">
        <v>678</v>
      </c>
      <c r="E264" t="s">
        <v>679</v>
      </c>
      <c r="F264" t="s">
        <v>680</v>
      </c>
      <c r="G264" t="str">
        <f>"00206547"</f>
        <v>00206547</v>
      </c>
      <c r="H264" t="s">
        <v>119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30</v>
      </c>
      <c r="U264">
        <v>0</v>
      </c>
      <c r="V264">
        <v>0</v>
      </c>
      <c r="X264">
        <v>0</v>
      </c>
      <c r="Y264">
        <v>0</v>
      </c>
      <c r="Z264">
        <v>7</v>
      </c>
      <c r="AA264">
        <v>119</v>
      </c>
      <c r="AB264" t="s">
        <v>681</v>
      </c>
    </row>
    <row r="265" spans="1:28" x14ac:dyDescent="0.25">
      <c r="H265" t="s">
        <v>682</v>
      </c>
    </row>
    <row r="266" spans="1:28" x14ac:dyDescent="0.25">
      <c r="A266">
        <v>130</v>
      </c>
      <c r="B266">
        <v>1133</v>
      </c>
      <c r="C266" t="s">
        <v>683</v>
      </c>
      <c r="D266" t="s">
        <v>684</v>
      </c>
      <c r="E266" t="s">
        <v>20</v>
      </c>
      <c r="F266" t="s">
        <v>685</v>
      </c>
      <c r="G266" t="str">
        <f>"00119450"</f>
        <v>00119450</v>
      </c>
      <c r="H266" t="s">
        <v>686</v>
      </c>
      <c r="I266">
        <v>150</v>
      </c>
      <c r="J266">
        <v>0</v>
      </c>
      <c r="K266">
        <v>0</v>
      </c>
      <c r="L266">
        <v>0</v>
      </c>
      <c r="M266">
        <v>100</v>
      </c>
      <c r="N266">
        <v>30</v>
      </c>
      <c r="O266">
        <v>30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>
        <v>0</v>
      </c>
      <c r="AB266" t="s">
        <v>687</v>
      </c>
    </row>
    <row r="267" spans="1:28" x14ac:dyDescent="0.25">
      <c r="H267" t="s">
        <v>688</v>
      </c>
    </row>
    <row r="268" spans="1:28" x14ac:dyDescent="0.25">
      <c r="A268">
        <v>131</v>
      </c>
      <c r="B268">
        <v>3163</v>
      </c>
      <c r="C268" t="s">
        <v>689</v>
      </c>
      <c r="D268" t="s">
        <v>19</v>
      </c>
      <c r="E268" t="s">
        <v>277</v>
      </c>
      <c r="F268" t="s">
        <v>690</v>
      </c>
      <c r="G268" t="str">
        <f>"201410007777"</f>
        <v>201410007777</v>
      </c>
      <c r="H268" t="s">
        <v>691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>
        <v>0</v>
      </c>
      <c r="AB268" t="s">
        <v>692</v>
      </c>
    </row>
    <row r="269" spans="1:28" x14ac:dyDescent="0.25">
      <c r="H269" t="s">
        <v>693</v>
      </c>
    </row>
    <row r="270" spans="1:28" x14ac:dyDescent="0.25">
      <c r="A270">
        <v>132</v>
      </c>
      <c r="B270">
        <v>3893</v>
      </c>
      <c r="C270" t="s">
        <v>694</v>
      </c>
      <c r="D270" t="s">
        <v>19</v>
      </c>
      <c r="E270" t="s">
        <v>117</v>
      </c>
      <c r="F270" t="s">
        <v>695</v>
      </c>
      <c r="G270" t="str">
        <f>"00108471"</f>
        <v>00108471</v>
      </c>
      <c r="H270" t="s">
        <v>696</v>
      </c>
      <c r="I270">
        <v>150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50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>
        <v>0</v>
      </c>
      <c r="AB270" t="s">
        <v>697</v>
      </c>
    </row>
    <row r="271" spans="1:28" x14ac:dyDescent="0.25">
      <c r="H271" t="s">
        <v>698</v>
      </c>
    </row>
    <row r="272" spans="1:28" x14ac:dyDescent="0.25">
      <c r="A272">
        <v>133</v>
      </c>
      <c r="B272">
        <v>2473</v>
      </c>
      <c r="C272" t="s">
        <v>699</v>
      </c>
      <c r="D272" t="s">
        <v>179</v>
      </c>
      <c r="E272" t="s">
        <v>15</v>
      </c>
      <c r="F272" t="s">
        <v>700</v>
      </c>
      <c r="G272" t="str">
        <f>"200801001368"</f>
        <v>200801001368</v>
      </c>
      <c r="H272" t="s">
        <v>163</v>
      </c>
      <c r="I272">
        <v>0</v>
      </c>
      <c r="J272">
        <v>0</v>
      </c>
      <c r="K272">
        <v>0</v>
      </c>
      <c r="L272">
        <v>260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70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>
        <v>0</v>
      </c>
      <c r="AB272" t="s">
        <v>701</v>
      </c>
    </row>
    <row r="273" spans="1:28" x14ac:dyDescent="0.25">
      <c r="H273" t="s">
        <v>142</v>
      </c>
    </row>
    <row r="274" spans="1:28" x14ac:dyDescent="0.25">
      <c r="A274">
        <v>134</v>
      </c>
      <c r="B274">
        <v>4874</v>
      </c>
      <c r="C274" t="s">
        <v>702</v>
      </c>
      <c r="D274" t="s">
        <v>14</v>
      </c>
      <c r="E274" t="s">
        <v>218</v>
      </c>
      <c r="F274" t="s">
        <v>703</v>
      </c>
      <c r="G274" t="str">
        <f>"201406018692"</f>
        <v>201406018692</v>
      </c>
      <c r="H274" t="s">
        <v>425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24</v>
      </c>
      <c r="AA274">
        <v>408</v>
      </c>
      <c r="AB274" t="s">
        <v>704</v>
      </c>
    </row>
    <row r="275" spans="1:28" x14ac:dyDescent="0.25">
      <c r="H275">
        <v>1009</v>
      </c>
    </row>
    <row r="276" spans="1:28" x14ac:dyDescent="0.25">
      <c r="A276">
        <v>135</v>
      </c>
      <c r="B276">
        <v>390</v>
      </c>
      <c r="C276" t="s">
        <v>705</v>
      </c>
      <c r="D276" t="s">
        <v>97</v>
      </c>
      <c r="E276" t="s">
        <v>218</v>
      </c>
      <c r="F276" t="s">
        <v>706</v>
      </c>
      <c r="G276" t="str">
        <f>"00133260"</f>
        <v>00133260</v>
      </c>
      <c r="H276">
        <v>836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70</v>
      </c>
      <c r="P276">
        <v>0</v>
      </c>
      <c r="Q276">
        <v>30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>
        <v>0</v>
      </c>
      <c r="AB276">
        <v>1206</v>
      </c>
    </row>
    <row r="277" spans="1:28" x14ac:dyDescent="0.25">
      <c r="H277" t="s">
        <v>409</v>
      </c>
    </row>
    <row r="278" spans="1:28" x14ac:dyDescent="0.25">
      <c r="A278">
        <v>136</v>
      </c>
      <c r="B278">
        <v>1124</v>
      </c>
      <c r="C278" t="s">
        <v>707</v>
      </c>
      <c r="D278" t="s">
        <v>311</v>
      </c>
      <c r="E278" t="s">
        <v>15</v>
      </c>
      <c r="F278" t="s">
        <v>708</v>
      </c>
      <c r="G278" t="str">
        <f>"200802000997"</f>
        <v>200802000997</v>
      </c>
      <c r="H278">
        <v>814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0</v>
      </c>
      <c r="P278">
        <v>50</v>
      </c>
      <c r="Q278">
        <v>70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>
        <v>0</v>
      </c>
      <c r="AB278">
        <v>1204</v>
      </c>
    </row>
    <row r="279" spans="1:28" x14ac:dyDescent="0.25">
      <c r="H279" t="s">
        <v>709</v>
      </c>
    </row>
    <row r="280" spans="1:28" x14ac:dyDescent="0.25">
      <c r="A280">
        <v>137</v>
      </c>
      <c r="B280">
        <v>5237</v>
      </c>
      <c r="C280" t="s">
        <v>710</v>
      </c>
      <c r="D280" t="s">
        <v>26</v>
      </c>
      <c r="E280" t="s">
        <v>20</v>
      </c>
      <c r="F280" t="s">
        <v>711</v>
      </c>
      <c r="G280" t="str">
        <f>"201304001158"</f>
        <v>201304001158</v>
      </c>
      <c r="H280" t="s">
        <v>712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10</v>
      </c>
      <c r="AA280">
        <v>170</v>
      </c>
      <c r="AB280" t="s">
        <v>713</v>
      </c>
    </row>
    <row r="281" spans="1:28" x14ac:dyDescent="0.25">
      <c r="H281" t="s">
        <v>714</v>
      </c>
    </row>
    <row r="282" spans="1:28" x14ac:dyDescent="0.25">
      <c r="A282">
        <v>138</v>
      </c>
      <c r="B282">
        <v>3516</v>
      </c>
      <c r="C282" t="s">
        <v>715</v>
      </c>
      <c r="D282" t="s">
        <v>716</v>
      </c>
      <c r="E282" t="s">
        <v>393</v>
      </c>
      <c r="F282" t="s">
        <v>717</v>
      </c>
      <c r="G282" t="str">
        <f>"200712004508"</f>
        <v>200712004508</v>
      </c>
      <c r="H282" t="s">
        <v>718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0</v>
      </c>
      <c r="P282">
        <v>0</v>
      </c>
      <c r="Q282">
        <v>70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>
        <v>0</v>
      </c>
      <c r="AB282" t="s">
        <v>719</v>
      </c>
    </row>
    <row r="283" spans="1:28" x14ac:dyDescent="0.25">
      <c r="H283" t="s">
        <v>720</v>
      </c>
    </row>
    <row r="284" spans="1:28" x14ac:dyDescent="0.25">
      <c r="A284">
        <v>139</v>
      </c>
      <c r="B284">
        <v>4105</v>
      </c>
      <c r="C284" t="s">
        <v>721</v>
      </c>
      <c r="D284" t="s">
        <v>14</v>
      </c>
      <c r="E284" t="s">
        <v>44</v>
      </c>
      <c r="F284" t="s">
        <v>722</v>
      </c>
      <c r="G284" t="str">
        <f>"200801003958"</f>
        <v>200801003958</v>
      </c>
      <c r="H284" t="s">
        <v>273</v>
      </c>
      <c r="I284">
        <v>150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>
        <v>0</v>
      </c>
      <c r="AB284" t="s">
        <v>723</v>
      </c>
    </row>
    <row r="285" spans="1:28" x14ac:dyDescent="0.25">
      <c r="H285" t="s">
        <v>724</v>
      </c>
    </row>
    <row r="286" spans="1:28" x14ac:dyDescent="0.25">
      <c r="A286">
        <v>140</v>
      </c>
      <c r="B286">
        <v>2329</v>
      </c>
      <c r="C286" t="s">
        <v>725</v>
      </c>
      <c r="D286" t="s">
        <v>726</v>
      </c>
      <c r="E286" t="s">
        <v>311</v>
      </c>
      <c r="F286" t="s">
        <v>727</v>
      </c>
      <c r="G286" t="str">
        <f>"201304002969"</f>
        <v>201304002969</v>
      </c>
      <c r="H286">
        <v>902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30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>
        <v>0</v>
      </c>
      <c r="AB286">
        <v>1202</v>
      </c>
    </row>
    <row r="287" spans="1:28" x14ac:dyDescent="0.25">
      <c r="H287" t="s">
        <v>728</v>
      </c>
    </row>
    <row r="288" spans="1:28" x14ac:dyDescent="0.25">
      <c r="A288">
        <v>141</v>
      </c>
      <c r="B288">
        <v>3612</v>
      </c>
      <c r="C288" t="s">
        <v>729</v>
      </c>
      <c r="D288" t="s">
        <v>138</v>
      </c>
      <c r="E288" t="s">
        <v>14</v>
      </c>
      <c r="F288" t="s">
        <v>730</v>
      </c>
      <c r="G288" t="str">
        <f>"200802008168"</f>
        <v>200802008168</v>
      </c>
      <c r="H288" t="s">
        <v>34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24</v>
      </c>
      <c r="AA288">
        <v>408</v>
      </c>
      <c r="AB288" t="s">
        <v>731</v>
      </c>
    </row>
    <row r="289" spans="1:28" x14ac:dyDescent="0.25">
      <c r="H289" t="s">
        <v>732</v>
      </c>
    </row>
    <row r="290" spans="1:28" x14ac:dyDescent="0.25">
      <c r="A290">
        <v>142</v>
      </c>
      <c r="B290">
        <v>675</v>
      </c>
      <c r="C290" t="s">
        <v>733</v>
      </c>
      <c r="D290" t="s">
        <v>277</v>
      </c>
      <c r="E290" t="s">
        <v>14</v>
      </c>
      <c r="F290" t="s">
        <v>734</v>
      </c>
      <c r="G290" t="str">
        <f>"201301000005"</f>
        <v>201301000005</v>
      </c>
      <c r="H290">
        <v>693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24</v>
      </c>
      <c r="AA290">
        <v>408</v>
      </c>
      <c r="AB290">
        <v>1201</v>
      </c>
    </row>
    <row r="291" spans="1:28" x14ac:dyDescent="0.25">
      <c r="H291" t="s">
        <v>735</v>
      </c>
    </row>
    <row r="292" spans="1:28" x14ac:dyDescent="0.25">
      <c r="A292">
        <v>143</v>
      </c>
      <c r="B292">
        <v>2605</v>
      </c>
      <c r="C292" t="s">
        <v>736</v>
      </c>
      <c r="D292" t="s">
        <v>253</v>
      </c>
      <c r="E292" t="s">
        <v>155</v>
      </c>
      <c r="F292" t="s">
        <v>737</v>
      </c>
      <c r="G292" t="str">
        <f>"00175825"</f>
        <v>00175825</v>
      </c>
      <c r="H292" t="s">
        <v>389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50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12</v>
      </c>
      <c r="AA292">
        <v>204</v>
      </c>
      <c r="AB292" t="s">
        <v>738</v>
      </c>
    </row>
    <row r="293" spans="1:28" x14ac:dyDescent="0.25">
      <c r="H293" t="s">
        <v>739</v>
      </c>
    </row>
    <row r="294" spans="1:28" x14ac:dyDescent="0.25">
      <c r="A294">
        <v>144</v>
      </c>
      <c r="B294">
        <v>1787</v>
      </c>
      <c r="C294" t="s">
        <v>740</v>
      </c>
      <c r="D294" t="s">
        <v>179</v>
      </c>
      <c r="E294" t="s">
        <v>14</v>
      </c>
      <c r="F294" t="s">
        <v>741</v>
      </c>
      <c r="G294" t="str">
        <f>"201304000586"</f>
        <v>201304000586</v>
      </c>
      <c r="H294" t="s">
        <v>742</v>
      </c>
      <c r="I294">
        <v>0</v>
      </c>
      <c r="J294">
        <v>0</v>
      </c>
      <c r="K294">
        <v>0</v>
      </c>
      <c r="L294">
        <v>260</v>
      </c>
      <c r="M294">
        <v>0</v>
      </c>
      <c r="N294">
        <v>70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0</v>
      </c>
      <c r="AB294" t="s">
        <v>743</v>
      </c>
    </row>
    <row r="295" spans="1:28" x14ac:dyDescent="0.25">
      <c r="H295" t="s">
        <v>744</v>
      </c>
    </row>
    <row r="296" spans="1:28" x14ac:dyDescent="0.25">
      <c r="A296">
        <v>145</v>
      </c>
      <c r="B296">
        <v>5193</v>
      </c>
      <c r="C296" t="s">
        <v>745</v>
      </c>
      <c r="D296" t="s">
        <v>282</v>
      </c>
      <c r="E296" t="s">
        <v>38</v>
      </c>
      <c r="F296" t="s">
        <v>746</v>
      </c>
      <c r="G296" t="str">
        <f>"201406000205"</f>
        <v>201406000205</v>
      </c>
      <c r="H296" t="s">
        <v>747</v>
      </c>
      <c r="I296">
        <v>0</v>
      </c>
      <c r="J296">
        <v>0</v>
      </c>
      <c r="K296">
        <v>0</v>
      </c>
      <c r="L296">
        <v>0</v>
      </c>
      <c r="M296">
        <v>100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10</v>
      </c>
      <c r="AA296">
        <v>170</v>
      </c>
      <c r="AB296" t="s">
        <v>748</v>
      </c>
    </row>
    <row r="297" spans="1:28" x14ac:dyDescent="0.25">
      <c r="H297" t="s">
        <v>749</v>
      </c>
    </row>
    <row r="298" spans="1:28" x14ac:dyDescent="0.25">
      <c r="A298">
        <v>146</v>
      </c>
      <c r="B298">
        <v>3157</v>
      </c>
      <c r="C298" t="s">
        <v>750</v>
      </c>
      <c r="D298" t="s">
        <v>480</v>
      </c>
      <c r="E298" t="s">
        <v>751</v>
      </c>
      <c r="F298" t="s">
        <v>752</v>
      </c>
      <c r="G298" t="str">
        <f>"00013589"</f>
        <v>00013589</v>
      </c>
      <c r="H298" t="s">
        <v>753</v>
      </c>
      <c r="I298">
        <v>0</v>
      </c>
      <c r="J298">
        <v>0</v>
      </c>
      <c r="K298">
        <v>0</v>
      </c>
      <c r="L298">
        <v>260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70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0</v>
      </c>
      <c r="AB298" t="s">
        <v>754</v>
      </c>
    </row>
    <row r="299" spans="1:28" x14ac:dyDescent="0.25">
      <c r="H299" t="s">
        <v>755</v>
      </c>
    </row>
    <row r="300" spans="1:28" x14ac:dyDescent="0.25">
      <c r="A300">
        <v>147</v>
      </c>
      <c r="B300">
        <v>1391</v>
      </c>
      <c r="C300" t="s">
        <v>756</v>
      </c>
      <c r="D300" t="s">
        <v>757</v>
      </c>
      <c r="E300" t="s">
        <v>758</v>
      </c>
      <c r="F300" t="s">
        <v>759</v>
      </c>
      <c r="G300" t="str">
        <f>"201502002997"</f>
        <v>201502002997</v>
      </c>
      <c r="H300" t="s">
        <v>53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0</v>
      </c>
      <c r="Z300">
        <v>0</v>
      </c>
      <c r="AA300">
        <v>0</v>
      </c>
      <c r="AB300" t="s">
        <v>760</v>
      </c>
    </row>
    <row r="301" spans="1:28" x14ac:dyDescent="0.25">
      <c r="H301">
        <v>1009</v>
      </c>
    </row>
    <row r="302" spans="1:28" x14ac:dyDescent="0.25">
      <c r="A302">
        <v>148</v>
      </c>
      <c r="B302">
        <v>1451</v>
      </c>
      <c r="C302" t="s">
        <v>761</v>
      </c>
      <c r="D302" t="s">
        <v>218</v>
      </c>
      <c r="E302" t="s">
        <v>762</v>
      </c>
      <c r="F302" t="s">
        <v>763</v>
      </c>
      <c r="G302" t="str">
        <f>"201504001293"</f>
        <v>201504001293</v>
      </c>
      <c r="H302">
        <v>770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50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18</v>
      </c>
      <c r="AA302">
        <v>306</v>
      </c>
      <c r="AB302">
        <v>1196</v>
      </c>
    </row>
    <row r="303" spans="1:28" x14ac:dyDescent="0.25">
      <c r="H303">
        <v>1009</v>
      </c>
    </row>
    <row r="304" spans="1:28" x14ac:dyDescent="0.25">
      <c r="A304">
        <v>149</v>
      </c>
      <c r="B304">
        <v>3750</v>
      </c>
      <c r="C304" t="s">
        <v>764</v>
      </c>
      <c r="D304" t="s">
        <v>38</v>
      </c>
      <c r="E304" t="s">
        <v>247</v>
      </c>
      <c r="F304" t="s">
        <v>765</v>
      </c>
      <c r="G304" t="str">
        <f>"201304001561"</f>
        <v>201304001561</v>
      </c>
      <c r="H304" t="s">
        <v>766</v>
      </c>
      <c r="I304">
        <v>150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>
        <v>0</v>
      </c>
      <c r="AB304" t="s">
        <v>767</v>
      </c>
    </row>
    <row r="305" spans="1:28" x14ac:dyDescent="0.25">
      <c r="H305" t="s">
        <v>768</v>
      </c>
    </row>
    <row r="306" spans="1:28" x14ac:dyDescent="0.25">
      <c r="A306">
        <v>150</v>
      </c>
      <c r="B306">
        <v>749</v>
      </c>
      <c r="C306" t="s">
        <v>769</v>
      </c>
      <c r="D306" t="s">
        <v>587</v>
      </c>
      <c r="E306" t="s">
        <v>44</v>
      </c>
      <c r="F306" t="s">
        <v>770</v>
      </c>
      <c r="G306" t="str">
        <f>"201411002391"</f>
        <v>201411002391</v>
      </c>
      <c r="H306" t="s">
        <v>771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70</v>
      </c>
      <c r="O306">
        <v>0</v>
      </c>
      <c r="P306">
        <v>70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>
        <v>0</v>
      </c>
      <c r="AB306" t="s">
        <v>772</v>
      </c>
    </row>
    <row r="307" spans="1:28" x14ac:dyDescent="0.25">
      <c r="H307" t="s">
        <v>739</v>
      </c>
    </row>
    <row r="308" spans="1:28" x14ac:dyDescent="0.25">
      <c r="A308">
        <v>151</v>
      </c>
      <c r="B308">
        <v>2333</v>
      </c>
      <c r="C308" t="s">
        <v>773</v>
      </c>
      <c r="D308" t="s">
        <v>97</v>
      </c>
      <c r="E308" t="s">
        <v>774</v>
      </c>
      <c r="F308" t="s">
        <v>775</v>
      </c>
      <c r="G308" t="str">
        <f>"201406000732"</f>
        <v>201406000732</v>
      </c>
      <c r="H308" t="s">
        <v>425</v>
      </c>
      <c r="I308">
        <v>150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>
        <v>0</v>
      </c>
      <c r="AB308" t="s">
        <v>776</v>
      </c>
    </row>
    <row r="309" spans="1:28" x14ac:dyDescent="0.25">
      <c r="H309">
        <v>1009</v>
      </c>
    </row>
    <row r="310" spans="1:28" x14ac:dyDescent="0.25">
      <c r="A310">
        <v>152</v>
      </c>
      <c r="B310">
        <v>3591</v>
      </c>
      <c r="C310" t="s">
        <v>777</v>
      </c>
      <c r="D310" t="s">
        <v>778</v>
      </c>
      <c r="E310" t="s">
        <v>779</v>
      </c>
      <c r="F310" t="s">
        <v>780</v>
      </c>
      <c r="G310" t="str">
        <f>"00367958"</f>
        <v>00367958</v>
      </c>
      <c r="H310" t="s">
        <v>781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70</v>
      </c>
      <c r="O310">
        <v>30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>
        <v>0</v>
      </c>
      <c r="AB310" t="s">
        <v>782</v>
      </c>
    </row>
    <row r="311" spans="1:28" x14ac:dyDescent="0.25">
      <c r="H311" t="s">
        <v>432</v>
      </c>
    </row>
    <row r="312" spans="1:28" x14ac:dyDescent="0.25">
      <c r="A312">
        <v>153</v>
      </c>
      <c r="B312">
        <v>3020</v>
      </c>
      <c r="C312" t="s">
        <v>783</v>
      </c>
      <c r="D312" t="s">
        <v>784</v>
      </c>
      <c r="E312" t="s">
        <v>38</v>
      </c>
      <c r="F312" t="s">
        <v>785</v>
      </c>
      <c r="G312" t="str">
        <f>"200809001190"</f>
        <v>200809001190</v>
      </c>
      <c r="H312" t="s">
        <v>65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70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>
        <v>0</v>
      </c>
      <c r="AB312" t="s">
        <v>786</v>
      </c>
    </row>
    <row r="313" spans="1:28" x14ac:dyDescent="0.25">
      <c r="H313" t="s">
        <v>142</v>
      </c>
    </row>
    <row r="314" spans="1:28" x14ac:dyDescent="0.25">
      <c r="A314">
        <v>154</v>
      </c>
      <c r="B314">
        <v>4106</v>
      </c>
      <c r="C314" t="s">
        <v>787</v>
      </c>
      <c r="D314" t="s">
        <v>80</v>
      </c>
      <c r="E314" t="s">
        <v>14</v>
      </c>
      <c r="F314" t="s">
        <v>788</v>
      </c>
      <c r="G314" t="str">
        <f>"00338901"</f>
        <v>00338901</v>
      </c>
      <c r="H314" t="s">
        <v>448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0</v>
      </c>
      <c r="P314">
        <v>50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>
        <v>0</v>
      </c>
      <c r="AB314" t="s">
        <v>789</v>
      </c>
    </row>
    <row r="315" spans="1:28" x14ac:dyDescent="0.25">
      <c r="H315" t="s">
        <v>790</v>
      </c>
    </row>
    <row r="316" spans="1:28" x14ac:dyDescent="0.25">
      <c r="A316">
        <v>155</v>
      </c>
      <c r="B316">
        <v>2809</v>
      </c>
      <c r="C316" t="s">
        <v>791</v>
      </c>
      <c r="D316" t="s">
        <v>306</v>
      </c>
      <c r="E316" t="s">
        <v>14</v>
      </c>
      <c r="F316" t="s">
        <v>792</v>
      </c>
      <c r="G316" t="str">
        <f>"201506001899"</f>
        <v>201506001899</v>
      </c>
      <c r="H316">
        <v>891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30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>
        <v>0</v>
      </c>
      <c r="AB316">
        <v>1191</v>
      </c>
    </row>
    <row r="317" spans="1:28" x14ac:dyDescent="0.25">
      <c r="H317" t="s">
        <v>793</v>
      </c>
    </row>
    <row r="318" spans="1:28" x14ac:dyDescent="0.25">
      <c r="A318">
        <v>156</v>
      </c>
      <c r="B318">
        <v>3114</v>
      </c>
      <c r="C318" t="s">
        <v>25</v>
      </c>
      <c r="D318" t="s">
        <v>339</v>
      </c>
      <c r="E318" t="s">
        <v>98</v>
      </c>
      <c r="F318" t="s">
        <v>794</v>
      </c>
      <c r="G318" t="str">
        <f>"201406011837"</f>
        <v>201406011837</v>
      </c>
      <c r="H318" t="s">
        <v>460</v>
      </c>
      <c r="I318">
        <v>150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>
        <v>0</v>
      </c>
      <c r="AB318" t="s">
        <v>795</v>
      </c>
    </row>
    <row r="319" spans="1:28" x14ac:dyDescent="0.25">
      <c r="H319">
        <v>1009</v>
      </c>
    </row>
    <row r="320" spans="1:28" x14ac:dyDescent="0.25">
      <c r="A320">
        <v>157</v>
      </c>
      <c r="B320">
        <v>2061</v>
      </c>
      <c r="C320" t="s">
        <v>796</v>
      </c>
      <c r="D320" t="s">
        <v>26</v>
      </c>
      <c r="E320" t="s">
        <v>117</v>
      </c>
      <c r="F320" t="s">
        <v>797</v>
      </c>
      <c r="G320" t="str">
        <f>"200801006597"</f>
        <v>200801006597</v>
      </c>
      <c r="H320" t="s">
        <v>798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70</v>
      </c>
      <c r="P320">
        <v>0</v>
      </c>
      <c r="Q320">
        <v>0</v>
      </c>
      <c r="R320">
        <v>30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0</v>
      </c>
      <c r="Z320">
        <v>0</v>
      </c>
      <c r="AA320">
        <v>0</v>
      </c>
      <c r="AB320" t="s">
        <v>799</v>
      </c>
    </row>
    <row r="321" spans="1:28" x14ac:dyDescent="0.25">
      <c r="H321" t="s">
        <v>800</v>
      </c>
    </row>
    <row r="322" spans="1:28" x14ac:dyDescent="0.25">
      <c r="A322">
        <v>158</v>
      </c>
      <c r="B322">
        <v>508</v>
      </c>
      <c r="C322" t="s">
        <v>801</v>
      </c>
      <c r="D322" t="s">
        <v>802</v>
      </c>
      <c r="E322" t="s">
        <v>80</v>
      </c>
      <c r="F322" t="s">
        <v>803</v>
      </c>
      <c r="G322" t="str">
        <f>"201412007094"</f>
        <v>201412007094</v>
      </c>
      <c r="H322" t="s">
        <v>119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70</v>
      </c>
      <c r="P322">
        <v>0</v>
      </c>
      <c r="Q322">
        <v>30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>
        <v>0</v>
      </c>
      <c r="AB322" t="s">
        <v>804</v>
      </c>
    </row>
    <row r="323" spans="1:28" x14ac:dyDescent="0.25">
      <c r="H323" t="s">
        <v>805</v>
      </c>
    </row>
    <row r="324" spans="1:28" x14ac:dyDescent="0.25">
      <c r="A324">
        <v>159</v>
      </c>
      <c r="B324">
        <v>2724</v>
      </c>
      <c r="C324" t="s">
        <v>806</v>
      </c>
      <c r="D324" t="s">
        <v>807</v>
      </c>
      <c r="E324" t="s">
        <v>587</v>
      </c>
      <c r="F324" t="s">
        <v>808</v>
      </c>
      <c r="G324" t="str">
        <f>"201412007283"</f>
        <v>201412007283</v>
      </c>
      <c r="H324" t="s">
        <v>809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20</v>
      </c>
      <c r="AA324">
        <v>340</v>
      </c>
      <c r="AB324" t="s">
        <v>810</v>
      </c>
    </row>
    <row r="325" spans="1:28" x14ac:dyDescent="0.25">
      <c r="H325" t="s">
        <v>811</v>
      </c>
    </row>
    <row r="326" spans="1:28" x14ac:dyDescent="0.25">
      <c r="A326">
        <v>160</v>
      </c>
      <c r="B326">
        <v>4691</v>
      </c>
      <c r="C326" t="s">
        <v>812</v>
      </c>
      <c r="D326" t="s">
        <v>187</v>
      </c>
      <c r="E326" t="s">
        <v>813</v>
      </c>
      <c r="F326" t="s">
        <v>814</v>
      </c>
      <c r="G326" t="str">
        <f>"201402003324"</f>
        <v>201402003324</v>
      </c>
      <c r="H326" t="s">
        <v>87</v>
      </c>
      <c r="I326">
        <v>150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0</v>
      </c>
      <c r="Z326">
        <v>0</v>
      </c>
      <c r="AA326">
        <v>0</v>
      </c>
      <c r="AB326" t="s">
        <v>815</v>
      </c>
    </row>
    <row r="327" spans="1:28" x14ac:dyDescent="0.25">
      <c r="H327" t="s">
        <v>816</v>
      </c>
    </row>
    <row r="328" spans="1:28" x14ac:dyDescent="0.25">
      <c r="A328">
        <v>161</v>
      </c>
      <c r="B328">
        <v>5273</v>
      </c>
      <c r="C328" t="s">
        <v>817</v>
      </c>
      <c r="D328" t="s">
        <v>762</v>
      </c>
      <c r="E328" t="s">
        <v>155</v>
      </c>
      <c r="F328" t="s">
        <v>818</v>
      </c>
      <c r="G328" t="str">
        <f>"201304005987"</f>
        <v>201304005987</v>
      </c>
      <c r="H328">
        <v>935</v>
      </c>
      <c r="I328">
        <v>0</v>
      </c>
      <c r="J328">
        <v>0</v>
      </c>
      <c r="K328">
        <v>0</v>
      </c>
      <c r="L328">
        <v>200</v>
      </c>
      <c r="M328">
        <v>0</v>
      </c>
      <c r="N328">
        <v>50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>
        <v>0</v>
      </c>
      <c r="AB328">
        <v>1185</v>
      </c>
    </row>
    <row r="329" spans="1:28" x14ac:dyDescent="0.25">
      <c r="H329">
        <v>1009</v>
      </c>
    </row>
    <row r="330" spans="1:28" x14ac:dyDescent="0.25">
      <c r="A330">
        <v>162</v>
      </c>
      <c r="B330">
        <v>4804</v>
      </c>
      <c r="C330" t="s">
        <v>819</v>
      </c>
      <c r="D330" t="s">
        <v>38</v>
      </c>
      <c r="E330" t="s">
        <v>820</v>
      </c>
      <c r="F330" t="s">
        <v>821</v>
      </c>
      <c r="G330" t="str">
        <f>"00362998"</f>
        <v>00362998</v>
      </c>
      <c r="H330" t="s">
        <v>822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>
        <v>0</v>
      </c>
      <c r="AB330" t="s">
        <v>823</v>
      </c>
    </row>
    <row r="331" spans="1:28" x14ac:dyDescent="0.25">
      <c r="H331" t="s">
        <v>824</v>
      </c>
    </row>
    <row r="332" spans="1:28" x14ac:dyDescent="0.25">
      <c r="A332">
        <v>163</v>
      </c>
      <c r="B332">
        <v>2279</v>
      </c>
      <c r="C332" t="s">
        <v>825</v>
      </c>
      <c r="D332" t="s">
        <v>282</v>
      </c>
      <c r="E332" t="s">
        <v>14</v>
      </c>
      <c r="F332" t="s">
        <v>826</v>
      </c>
      <c r="G332" t="str">
        <f>"201410002609"</f>
        <v>201410002609</v>
      </c>
      <c r="H332" t="s">
        <v>827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>
        <v>0</v>
      </c>
      <c r="AB332" t="s">
        <v>828</v>
      </c>
    </row>
    <row r="333" spans="1:28" x14ac:dyDescent="0.25">
      <c r="H333" t="s">
        <v>829</v>
      </c>
    </row>
    <row r="334" spans="1:28" x14ac:dyDescent="0.25">
      <c r="A334">
        <v>164</v>
      </c>
      <c r="B334">
        <v>1279</v>
      </c>
      <c r="C334" t="s">
        <v>830</v>
      </c>
      <c r="D334" t="s">
        <v>339</v>
      </c>
      <c r="E334" t="s">
        <v>14</v>
      </c>
      <c r="F334" t="s">
        <v>831</v>
      </c>
      <c r="G334" t="str">
        <f>"201303000884"</f>
        <v>201303000884</v>
      </c>
      <c r="H334" t="s">
        <v>832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70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>
        <v>0</v>
      </c>
      <c r="AB334" t="s">
        <v>833</v>
      </c>
    </row>
    <row r="335" spans="1:28" x14ac:dyDescent="0.25">
      <c r="H335" t="s">
        <v>834</v>
      </c>
    </row>
    <row r="336" spans="1:28" x14ac:dyDescent="0.25">
      <c r="A336">
        <v>165</v>
      </c>
      <c r="B336">
        <v>3766</v>
      </c>
      <c r="C336" t="s">
        <v>835</v>
      </c>
      <c r="D336" t="s">
        <v>339</v>
      </c>
      <c r="E336" t="s">
        <v>15</v>
      </c>
      <c r="F336" t="s">
        <v>836</v>
      </c>
      <c r="G336" t="str">
        <f>"201411001394"</f>
        <v>201411001394</v>
      </c>
      <c r="H336" t="s">
        <v>150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19</v>
      </c>
      <c r="AA336">
        <v>323</v>
      </c>
      <c r="AB336" t="s">
        <v>837</v>
      </c>
    </row>
    <row r="337" spans="1:28" x14ac:dyDescent="0.25">
      <c r="H337" t="s">
        <v>102</v>
      </c>
    </row>
    <row r="338" spans="1:28" x14ac:dyDescent="0.25">
      <c r="A338">
        <v>166</v>
      </c>
      <c r="B338">
        <v>4668</v>
      </c>
      <c r="C338" t="s">
        <v>838</v>
      </c>
      <c r="D338" t="s">
        <v>839</v>
      </c>
      <c r="E338" t="s">
        <v>840</v>
      </c>
      <c r="F338" t="s">
        <v>841</v>
      </c>
      <c r="G338" t="str">
        <f>"00357734"</f>
        <v>00357734</v>
      </c>
      <c r="H338" t="s">
        <v>842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30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24</v>
      </c>
      <c r="AA338">
        <v>408</v>
      </c>
      <c r="AB338" t="s">
        <v>843</v>
      </c>
    </row>
    <row r="339" spans="1:28" x14ac:dyDescent="0.25">
      <c r="H339" t="s">
        <v>844</v>
      </c>
    </row>
    <row r="340" spans="1:28" x14ac:dyDescent="0.25">
      <c r="A340">
        <v>167</v>
      </c>
      <c r="B340">
        <v>2042</v>
      </c>
      <c r="C340" t="s">
        <v>845</v>
      </c>
      <c r="D340" t="s">
        <v>183</v>
      </c>
      <c r="E340" t="s">
        <v>155</v>
      </c>
      <c r="F340" t="s">
        <v>846</v>
      </c>
      <c r="G340" t="str">
        <f>"00235170"</f>
        <v>00235170</v>
      </c>
      <c r="H340" t="s">
        <v>562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70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>
        <v>0</v>
      </c>
      <c r="AB340" t="s">
        <v>847</v>
      </c>
    </row>
    <row r="341" spans="1:28" x14ac:dyDescent="0.25">
      <c r="H341" t="s">
        <v>848</v>
      </c>
    </row>
    <row r="342" spans="1:28" x14ac:dyDescent="0.25">
      <c r="A342">
        <v>168</v>
      </c>
      <c r="B342">
        <v>336</v>
      </c>
      <c r="C342" t="s">
        <v>849</v>
      </c>
      <c r="D342" t="s">
        <v>187</v>
      </c>
      <c r="E342" t="s">
        <v>80</v>
      </c>
      <c r="F342" t="s">
        <v>850</v>
      </c>
      <c r="G342" t="str">
        <f>"201406013534"</f>
        <v>201406013534</v>
      </c>
      <c r="H342" t="s">
        <v>851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5</v>
      </c>
      <c r="AA342">
        <v>85</v>
      </c>
      <c r="AB342" t="s">
        <v>847</v>
      </c>
    </row>
    <row r="343" spans="1:28" x14ac:dyDescent="0.25">
      <c r="H343" t="s">
        <v>852</v>
      </c>
    </row>
    <row r="344" spans="1:28" x14ac:dyDescent="0.25">
      <c r="A344">
        <v>169</v>
      </c>
      <c r="B344">
        <v>3686</v>
      </c>
      <c r="C344" t="s">
        <v>853</v>
      </c>
      <c r="D344" t="s">
        <v>854</v>
      </c>
      <c r="E344" t="s">
        <v>417</v>
      </c>
      <c r="F344" t="s">
        <v>855</v>
      </c>
      <c r="G344" t="str">
        <f>"201410010115"</f>
        <v>201410010115</v>
      </c>
      <c r="H344" t="s">
        <v>533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30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>
        <v>0</v>
      </c>
      <c r="AB344" t="s">
        <v>856</v>
      </c>
    </row>
    <row r="345" spans="1:28" x14ac:dyDescent="0.25">
      <c r="H345" t="s">
        <v>857</v>
      </c>
    </row>
    <row r="346" spans="1:28" x14ac:dyDescent="0.25">
      <c r="A346">
        <v>170</v>
      </c>
      <c r="B346">
        <v>4431</v>
      </c>
      <c r="C346" t="s">
        <v>858</v>
      </c>
      <c r="D346" t="s">
        <v>109</v>
      </c>
      <c r="E346" t="s">
        <v>98</v>
      </c>
      <c r="F346" t="s">
        <v>859</v>
      </c>
      <c r="G346" t="str">
        <f>"00129480"</f>
        <v>00129480</v>
      </c>
      <c r="H346" t="s">
        <v>860</v>
      </c>
      <c r="I346">
        <v>0</v>
      </c>
      <c r="J346">
        <v>0</v>
      </c>
      <c r="K346">
        <v>0</v>
      </c>
      <c r="L346">
        <v>260</v>
      </c>
      <c r="M346">
        <v>0</v>
      </c>
      <c r="N346">
        <v>50</v>
      </c>
      <c r="O346">
        <v>30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>
        <v>0</v>
      </c>
      <c r="AB346" t="s">
        <v>861</v>
      </c>
    </row>
    <row r="347" spans="1:28" x14ac:dyDescent="0.25">
      <c r="H347" t="s">
        <v>862</v>
      </c>
    </row>
    <row r="348" spans="1:28" x14ac:dyDescent="0.25">
      <c r="A348">
        <v>171</v>
      </c>
      <c r="B348">
        <v>3355</v>
      </c>
      <c r="C348" t="s">
        <v>863</v>
      </c>
      <c r="D348" t="s">
        <v>116</v>
      </c>
      <c r="E348" t="s">
        <v>311</v>
      </c>
      <c r="F348" t="s">
        <v>864</v>
      </c>
      <c r="G348" t="str">
        <f>"200802006780"</f>
        <v>200802006780</v>
      </c>
      <c r="H348" t="s">
        <v>865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24</v>
      </c>
      <c r="AA348">
        <v>408</v>
      </c>
      <c r="AB348" t="s">
        <v>866</v>
      </c>
    </row>
    <row r="349" spans="1:28" x14ac:dyDescent="0.25">
      <c r="H349" t="s">
        <v>867</v>
      </c>
    </row>
    <row r="350" spans="1:28" x14ac:dyDescent="0.25">
      <c r="A350">
        <v>172</v>
      </c>
      <c r="B350">
        <v>4799</v>
      </c>
      <c r="C350" t="s">
        <v>868</v>
      </c>
      <c r="D350" t="s">
        <v>869</v>
      </c>
      <c r="E350" t="s">
        <v>44</v>
      </c>
      <c r="F350" t="s">
        <v>870</v>
      </c>
      <c r="G350" t="str">
        <f>"201502000173"</f>
        <v>201502000173</v>
      </c>
      <c r="H350" t="s">
        <v>659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>
        <v>0</v>
      </c>
      <c r="AB350" t="s">
        <v>871</v>
      </c>
    </row>
    <row r="351" spans="1:28" x14ac:dyDescent="0.25">
      <c r="H351" t="s">
        <v>872</v>
      </c>
    </row>
    <row r="352" spans="1:28" x14ac:dyDescent="0.25">
      <c r="A352">
        <v>173</v>
      </c>
      <c r="B352">
        <v>2554</v>
      </c>
      <c r="C352" t="s">
        <v>873</v>
      </c>
      <c r="D352" t="s">
        <v>874</v>
      </c>
      <c r="E352" t="s">
        <v>762</v>
      </c>
      <c r="F352" t="s">
        <v>875</v>
      </c>
      <c r="G352" t="str">
        <f>"00359347"</f>
        <v>00359347</v>
      </c>
      <c r="H352" t="s">
        <v>876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>
        <v>0</v>
      </c>
      <c r="AB352" t="s">
        <v>877</v>
      </c>
    </row>
    <row r="353" spans="1:28" x14ac:dyDescent="0.25">
      <c r="H353" t="s">
        <v>878</v>
      </c>
    </row>
    <row r="354" spans="1:28" x14ac:dyDescent="0.25">
      <c r="A354">
        <v>174</v>
      </c>
      <c r="B354">
        <v>4053</v>
      </c>
      <c r="C354" t="s">
        <v>879</v>
      </c>
      <c r="D354" t="s">
        <v>70</v>
      </c>
      <c r="E354" t="s">
        <v>155</v>
      </c>
      <c r="F354" t="s">
        <v>880</v>
      </c>
      <c r="G354" t="str">
        <f>"00125785"</f>
        <v>00125785</v>
      </c>
      <c r="H354" t="s">
        <v>881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70</v>
      </c>
      <c r="O354">
        <v>30</v>
      </c>
      <c r="P354">
        <v>0</v>
      </c>
      <c r="Q354">
        <v>50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>
        <v>0</v>
      </c>
      <c r="AB354" t="s">
        <v>882</v>
      </c>
    </row>
    <row r="355" spans="1:28" x14ac:dyDescent="0.25">
      <c r="H355" t="s">
        <v>60</v>
      </c>
    </row>
    <row r="356" spans="1:28" x14ac:dyDescent="0.25">
      <c r="A356">
        <v>175</v>
      </c>
      <c r="B356">
        <v>2967</v>
      </c>
      <c r="C356" t="s">
        <v>883</v>
      </c>
      <c r="D356" t="s">
        <v>26</v>
      </c>
      <c r="E356" t="s">
        <v>80</v>
      </c>
      <c r="F356" t="s">
        <v>884</v>
      </c>
      <c r="G356" t="str">
        <f>"201406006869"</f>
        <v>201406006869</v>
      </c>
      <c r="H356" t="s">
        <v>742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70</v>
      </c>
      <c r="O356">
        <v>30</v>
      </c>
      <c r="P356">
        <v>0</v>
      </c>
      <c r="Q356">
        <v>30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>
        <v>0</v>
      </c>
      <c r="AB356" t="s">
        <v>885</v>
      </c>
    </row>
    <row r="357" spans="1:28" x14ac:dyDescent="0.25">
      <c r="H357" t="s">
        <v>886</v>
      </c>
    </row>
    <row r="358" spans="1:28" x14ac:dyDescent="0.25">
      <c r="A358">
        <v>176</v>
      </c>
      <c r="B358">
        <v>1852</v>
      </c>
      <c r="C358" t="s">
        <v>887</v>
      </c>
      <c r="D358" t="s">
        <v>888</v>
      </c>
      <c r="E358" t="s">
        <v>69</v>
      </c>
      <c r="F358" t="s">
        <v>889</v>
      </c>
      <c r="G358" t="str">
        <f>"00243562"</f>
        <v>00243562</v>
      </c>
      <c r="H358" t="s">
        <v>890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>
        <v>0</v>
      </c>
      <c r="AB358" t="s">
        <v>891</v>
      </c>
    </row>
    <row r="359" spans="1:28" x14ac:dyDescent="0.25">
      <c r="H359" t="s">
        <v>142</v>
      </c>
    </row>
    <row r="360" spans="1:28" x14ac:dyDescent="0.25">
      <c r="A360">
        <v>177</v>
      </c>
      <c r="B360">
        <v>2826</v>
      </c>
      <c r="C360" t="s">
        <v>892</v>
      </c>
      <c r="D360" t="s">
        <v>893</v>
      </c>
      <c r="E360" t="s">
        <v>311</v>
      </c>
      <c r="F360" t="s">
        <v>894</v>
      </c>
      <c r="G360" t="str">
        <f>"201304001878"</f>
        <v>201304001878</v>
      </c>
      <c r="H360">
        <v>836</v>
      </c>
      <c r="I360">
        <v>0</v>
      </c>
      <c r="J360">
        <v>0</v>
      </c>
      <c r="K360">
        <v>0</v>
      </c>
      <c r="L360">
        <v>260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0</v>
      </c>
      <c r="AB360">
        <v>1166</v>
      </c>
    </row>
    <row r="361" spans="1:28" x14ac:dyDescent="0.25">
      <c r="H361" t="s">
        <v>895</v>
      </c>
    </row>
    <row r="362" spans="1:28" x14ac:dyDescent="0.25">
      <c r="A362">
        <v>178</v>
      </c>
      <c r="B362">
        <v>4643</v>
      </c>
      <c r="C362" t="s">
        <v>838</v>
      </c>
      <c r="D362" t="s">
        <v>896</v>
      </c>
      <c r="E362" t="s">
        <v>38</v>
      </c>
      <c r="F362" t="s">
        <v>897</v>
      </c>
      <c r="G362" t="str">
        <f>"201406011729"</f>
        <v>201406011729</v>
      </c>
      <c r="H362" t="s">
        <v>898</v>
      </c>
      <c r="I362">
        <v>0</v>
      </c>
      <c r="J362">
        <v>0</v>
      </c>
      <c r="K362">
        <v>0</v>
      </c>
      <c r="L362">
        <v>260</v>
      </c>
      <c r="M362">
        <v>0</v>
      </c>
      <c r="N362">
        <v>70</v>
      </c>
      <c r="O362">
        <v>0</v>
      </c>
      <c r="P362">
        <v>50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0</v>
      </c>
      <c r="AB362" t="s">
        <v>899</v>
      </c>
    </row>
    <row r="363" spans="1:28" x14ac:dyDescent="0.25">
      <c r="H363" t="s">
        <v>900</v>
      </c>
    </row>
    <row r="364" spans="1:28" x14ac:dyDescent="0.25">
      <c r="A364">
        <v>179</v>
      </c>
      <c r="B364">
        <v>4495</v>
      </c>
      <c r="C364" t="s">
        <v>901</v>
      </c>
      <c r="D364" t="s">
        <v>19</v>
      </c>
      <c r="E364" t="s">
        <v>247</v>
      </c>
      <c r="F364" t="s">
        <v>902</v>
      </c>
      <c r="G364" t="str">
        <f>"201504000504"</f>
        <v>201504000504</v>
      </c>
      <c r="H364" t="s">
        <v>903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50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24</v>
      </c>
      <c r="AA364">
        <v>408</v>
      </c>
      <c r="AB364" t="s">
        <v>904</v>
      </c>
    </row>
    <row r="365" spans="1:28" x14ac:dyDescent="0.25">
      <c r="H365" t="s">
        <v>905</v>
      </c>
    </row>
    <row r="366" spans="1:28" x14ac:dyDescent="0.25">
      <c r="A366">
        <v>180</v>
      </c>
      <c r="B366">
        <v>413</v>
      </c>
      <c r="C366" t="s">
        <v>906</v>
      </c>
      <c r="D366" t="s">
        <v>303</v>
      </c>
      <c r="E366" t="s">
        <v>20</v>
      </c>
      <c r="F366" t="s">
        <v>907</v>
      </c>
      <c r="G366" t="str">
        <f>"200712004852"</f>
        <v>200712004852</v>
      </c>
      <c r="H366">
        <v>726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24</v>
      </c>
      <c r="AA366">
        <v>408</v>
      </c>
      <c r="AB366">
        <v>1164</v>
      </c>
    </row>
    <row r="367" spans="1:28" x14ac:dyDescent="0.25">
      <c r="H367" t="s">
        <v>908</v>
      </c>
    </row>
    <row r="368" spans="1:28" x14ac:dyDescent="0.25">
      <c r="A368">
        <v>181</v>
      </c>
      <c r="B368">
        <v>1093</v>
      </c>
      <c r="C368" t="s">
        <v>909</v>
      </c>
      <c r="D368" t="s">
        <v>910</v>
      </c>
      <c r="E368" t="s">
        <v>51</v>
      </c>
      <c r="F368" t="s">
        <v>911</v>
      </c>
      <c r="G368" t="str">
        <f>"00014854"</f>
        <v>00014854</v>
      </c>
      <c r="H368" t="s">
        <v>912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50</v>
      </c>
      <c r="P368">
        <v>0</v>
      </c>
      <c r="Q368">
        <v>30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>
        <v>0</v>
      </c>
      <c r="AB368" t="s">
        <v>913</v>
      </c>
    </row>
    <row r="369" spans="1:28" x14ac:dyDescent="0.25">
      <c r="H369" t="s">
        <v>914</v>
      </c>
    </row>
    <row r="370" spans="1:28" x14ac:dyDescent="0.25">
      <c r="A370">
        <v>182</v>
      </c>
      <c r="B370">
        <v>4672</v>
      </c>
      <c r="C370" t="s">
        <v>915</v>
      </c>
      <c r="D370" t="s">
        <v>452</v>
      </c>
      <c r="E370" t="s">
        <v>80</v>
      </c>
      <c r="F370" t="s">
        <v>916</v>
      </c>
      <c r="G370" t="str">
        <f>"201406002173"</f>
        <v>201406002173</v>
      </c>
      <c r="H370">
        <v>891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>
        <v>0</v>
      </c>
      <c r="AB370">
        <v>1161</v>
      </c>
    </row>
    <row r="371" spans="1:28" x14ac:dyDescent="0.25">
      <c r="H371" t="s">
        <v>917</v>
      </c>
    </row>
    <row r="372" spans="1:28" x14ac:dyDescent="0.25">
      <c r="A372">
        <v>183</v>
      </c>
      <c r="B372">
        <v>1685</v>
      </c>
      <c r="C372" t="s">
        <v>918</v>
      </c>
      <c r="D372" t="s">
        <v>116</v>
      </c>
      <c r="E372" t="s">
        <v>80</v>
      </c>
      <c r="F372" t="s">
        <v>919</v>
      </c>
      <c r="G372" t="str">
        <f>"201406017646"</f>
        <v>201406017646</v>
      </c>
      <c r="H372" t="s">
        <v>920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70</v>
      </c>
      <c r="O372">
        <v>30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>
        <v>0</v>
      </c>
      <c r="AB372" t="s">
        <v>921</v>
      </c>
    </row>
    <row r="373" spans="1:28" x14ac:dyDescent="0.25">
      <c r="H373" t="s">
        <v>922</v>
      </c>
    </row>
    <row r="374" spans="1:28" x14ac:dyDescent="0.25">
      <c r="A374">
        <v>184</v>
      </c>
      <c r="B374">
        <v>3301</v>
      </c>
      <c r="C374" t="s">
        <v>923</v>
      </c>
      <c r="D374" t="s">
        <v>387</v>
      </c>
      <c r="E374" t="s">
        <v>218</v>
      </c>
      <c r="F374" t="s">
        <v>924</v>
      </c>
      <c r="G374" t="str">
        <f>"201506001118"</f>
        <v>201506001118</v>
      </c>
      <c r="H374">
        <v>858</v>
      </c>
      <c r="I374">
        <v>0</v>
      </c>
      <c r="J374">
        <v>0</v>
      </c>
      <c r="K374">
        <v>0</v>
      </c>
      <c r="L374">
        <v>200</v>
      </c>
      <c r="M374">
        <v>0</v>
      </c>
      <c r="N374">
        <v>70</v>
      </c>
      <c r="O374">
        <v>30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>
        <v>0</v>
      </c>
      <c r="AB374">
        <v>1158</v>
      </c>
    </row>
    <row r="375" spans="1:28" x14ac:dyDescent="0.25">
      <c r="H375">
        <v>1009</v>
      </c>
    </row>
    <row r="376" spans="1:28" x14ac:dyDescent="0.25">
      <c r="A376">
        <v>185</v>
      </c>
      <c r="B376">
        <v>496</v>
      </c>
      <c r="C376" t="s">
        <v>925</v>
      </c>
      <c r="D376" t="s">
        <v>362</v>
      </c>
      <c r="E376" t="s">
        <v>14</v>
      </c>
      <c r="F376" t="s">
        <v>926</v>
      </c>
      <c r="G376" t="str">
        <f>"201502000408"</f>
        <v>201502000408</v>
      </c>
      <c r="H376" t="s">
        <v>150</v>
      </c>
      <c r="I376">
        <v>0</v>
      </c>
      <c r="J376">
        <v>0</v>
      </c>
      <c r="K376">
        <v>0</v>
      </c>
      <c r="L376">
        <v>200</v>
      </c>
      <c r="M376">
        <v>30</v>
      </c>
      <c r="N376">
        <v>70</v>
      </c>
      <c r="O376">
        <v>70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0</v>
      </c>
      <c r="Z376">
        <v>0</v>
      </c>
      <c r="AA376">
        <v>0</v>
      </c>
      <c r="AB376" t="s">
        <v>927</v>
      </c>
    </row>
    <row r="377" spans="1:28" x14ac:dyDescent="0.25">
      <c r="H377" t="s">
        <v>60</v>
      </c>
    </row>
    <row r="378" spans="1:28" x14ac:dyDescent="0.25">
      <c r="A378">
        <v>186</v>
      </c>
      <c r="B378">
        <v>1943</v>
      </c>
      <c r="C378" t="s">
        <v>928</v>
      </c>
      <c r="D378" t="s">
        <v>929</v>
      </c>
      <c r="E378" t="s">
        <v>930</v>
      </c>
      <c r="F378" t="s">
        <v>931</v>
      </c>
      <c r="G378" t="str">
        <f>"201502002977"</f>
        <v>201502002977</v>
      </c>
      <c r="H378" t="s">
        <v>932</v>
      </c>
      <c r="I378">
        <v>0</v>
      </c>
      <c r="J378">
        <v>0</v>
      </c>
      <c r="K378">
        <v>0</v>
      </c>
      <c r="L378">
        <v>260</v>
      </c>
      <c r="M378">
        <v>0</v>
      </c>
      <c r="N378">
        <v>70</v>
      </c>
      <c r="O378">
        <v>50</v>
      </c>
      <c r="P378">
        <v>0</v>
      </c>
      <c r="Q378">
        <v>30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>
        <v>0</v>
      </c>
      <c r="AB378" t="s">
        <v>933</v>
      </c>
    </row>
    <row r="379" spans="1:28" x14ac:dyDescent="0.25">
      <c r="H379" t="s">
        <v>934</v>
      </c>
    </row>
    <row r="380" spans="1:28" x14ac:dyDescent="0.25">
      <c r="A380">
        <v>187</v>
      </c>
      <c r="B380">
        <v>3854</v>
      </c>
      <c r="C380" t="s">
        <v>935</v>
      </c>
      <c r="D380" t="s">
        <v>936</v>
      </c>
      <c r="E380" t="s">
        <v>937</v>
      </c>
      <c r="F380" t="s">
        <v>938</v>
      </c>
      <c r="G380" t="str">
        <f>"201406000133"</f>
        <v>201406000133</v>
      </c>
      <c r="H380" t="s">
        <v>696</v>
      </c>
      <c r="I380">
        <v>0</v>
      </c>
      <c r="J380">
        <v>0</v>
      </c>
      <c r="K380">
        <v>0</v>
      </c>
      <c r="L380">
        <v>260</v>
      </c>
      <c r="M380">
        <v>0</v>
      </c>
      <c r="N380">
        <v>70</v>
      </c>
      <c r="O380">
        <v>50</v>
      </c>
      <c r="P380">
        <v>0</v>
      </c>
      <c r="Q380">
        <v>0</v>
      </c>
      <c r="R380">
        <v>30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>
        <v>0</v>
      </c>
      <c r="AB380" t="s">
        <v>939</v>
      </c>
    </row>
    <row r="381" spans="1:28" x14ac:dyDescent="0.25">
      <c r="H381" t="s">
        <v>739</v>
      </c>
    </row>
    <row r="382" spans="1:28" x14ac:dyDescent="0.25">
      <c r="A382">
        <v>188</v>
      </c>
      <c r="B382">
        <v>4301</v>
      </c>
      <c r="C382" t="s">
        <v>940</v>
      </c>
      <c r="D382" t="s">
        <v>14</v>
      </c>
      <c r="E382" t="s">
        <v>38</v>
      </c>
      <c r="F382" t="s">
        <v>941</v>
      </c>
      <c r="G382" t="str">
        <f>"201406001259"</f>
        <v>201406001259</v>
      </c>
      <c r="H382">
        <v>715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24</v>
      </c>
      <c r="AA382">
        <v>408</v>
      </c>
      <c r="AB382">
        <v>1153</v>
      </c>
    </row>
    <row r="383" spans="1:28" x14ac:dyDescent="0.25">
      <c r="H383">
        <v>1009</v>
      </c>
    </row>
    <row r="384" spans="1:28" x14ac:dyDescent="0.25">
      <c r="A384">
        <v>189</v>
      </c>
      <c r="B384">
        <v>928</v>
      </c>
      <c r="C384" t="s">
        <v>270</v>
      </c>
      <c r="D384" t="s">
        <v>942</v>
      </c>
      <c r="E384" t="s">
        <v>15</v>
      </c>
      <c r="F384" t="s">
        <v>943</v>
      </c>
      <c r="G384" t="str">
        <f>"201401002498"</f>
        <v>201401002498</v>
      </c>
      <c r="H384" t="s">
        <v>425</v>
      </c>
      <c r="I384">
        <v>150</v>
      </c>
      <c r="J384">
        <v>0</v>
      </c>
      <c r="K384">
        <v>0</v>
      </c>
      <c r="L384">
        <v>200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>
        <v>0</v>
      </c>
      <c r="AB384" t="s">
        <v>944</v>
      </c>
    </row>
    <row r="385" spans="1:28" x14ac:dyDescent="0.25">
      <c r="H385" t="s">
        <v>945</v>
      </c>
    </row>
    <row r="386" spans="1:28" x14ac:dyDescent="0.25">
      <c r="A386">
        <v>190</v>
      </c>
      <c r="B386">
        <v>2933</v>
      </c>
      <c r="C386" t="s">
        <v>946</v>
      </c>
      <c r="D386" t="s">
        <v>14</v>
      </c>
      <c r="E386" t="s">
        <v>869</v>
      </c>
      <c r="F386" t="s">
        <v>947</v>
      </c>
      <c r="G386" t="str">
        <f>"201406014360"</f>
        <v>201406014360</v>
      </c>
      <c r="H386">
        <v>880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0</v>
      </c>
      <c r="AA386">
        <v>0</v>
      </c>
      <c r="AB386">
        <v>1150</v>
      </c>
    </row>
    <row r="387" spans="1:28" x14ac:dyDescent="0.25">
      <c r="H387" t="s">
        <v>948</v>
      </c>
    </row>
    <row r="388" spans="1:28" x14ac:dyDescent="0.25">
      <c r="A388">
        <v>191</v>
      </c>
      <c r="B388">
        <v>1361</v>
      </c>
      <c r="C388" t="s">
        <v>949</v>
      </c>
      <c r="D388" t="s">
        <v>97</v>
      </c>
      <c r="E388" t="s">
        <v>20</v>
      </c>
      <c r="F388" t="s">
        <v>950</v>
      </c>
      <c r="G388" t="str">
        <f>"200811001065"</f>
        <v>200811001065</v>
      </c>
      <c r="H388" t="s">
        <v>951</v>
      </c>
      <c r="I388">
        <v>150</v>
      </c>
      <c r="J388">
        <v>0</v>
      </c>
      <c r="K388">
        <v>0</v>
      </c>
      <c r="L388">
        <v>200</v>
      </c>
      <c r="M388">
        <v>0</v>
      </c>
      <c r="N388">
        <v>70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0</v>
      </c>
      <c r="AA388">
        <v>0</v>
      </c>
      <c r="AB388" t="s">
        <v>952</v>
      </c>
    </row>
    <row r="389" spans="1:28" x14ac:dyDescent="0.25">
      <c r="H389" t="s">
        <v>953</v>
      </c>
    </row>
    <row r="390" spans="1:28" x14ac:dyDescent="0.25">
      <c r="A390">
        <v>192</v>
      </c>
      <c r="B390">
        <v>3908</v>
      </c>
      <c r="C390" t="s">
        <v>954</v>
      </c>
      <c r="D390" t="s">
        <v>955</v>
      </c>
      <c r="E390" t="s">
        <v>80</v>
      </c>
      <c r="F390" t="s">
        <v>956</v>
      </c>
      <c r="G390" t="str">
        <f>"201304000055"</f>
        <v>201304000055</v>
      </c>
      <c r="H390" t="s">
        <v>951</v>
      </c>
      <c r="I390">
        <v>150</v>
      </c>
      <c r="J390">
        <v>0</v>
      </c>
      <c r="K390">
        <v>0</v>
      </c>
      <c r="L390">
        <v>200</v>
      </c>
      <c r="M390">
        <v>0</v>
      </c>
      <c r="N390">
        <v>70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>
        <v>0</v>
      </c>
      <c r="AB390" t="s">
        <v>952</v>
      </c>
    </row>
    <row r="391" spans="1:28" x14ac:dyDescent="0.25">
      <c r="H391" t="s">
        <v>957</v>
      </c>
    </row>
    <row r="392" spans="1:28" x14ac:dyDescent="0.25">
      <c r="A392">
        <v>193</v>
      </c>
      <c r="B392">
        <v>3119</v>
      </c>
      <c r="C392" t="s">
        <v>958</v>
      </c>
      <c r="D392" t="s">
        <v>959</v>
      </c>
      <c r="E392" t="s">
        <v>20</v>
      </c>
      <c r="F392" t="s">
        <v>960</v>
      </c>
      <c r="G392" t="str">
        <f>"00108663"</f>
        <v>00108663</v>
      </c>
      <c r="H392" t="s">
        <v>961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30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11</v>
      </c>
      <c r="AA392">
        <v>187</v>
      </c>
      <c r="AB392" t="s">
        <v>962</v>
      </c>
    </row>
    <row r="393" spans="1:28" x14ac:dyDescent="0.25">
      <c r="H393" t="s">
        <v>739</v>
      </c>
    </row>
    <row r="394" spans="1:28" x14ac:dyDescent="0.25">
      <c r="A394">
        <v>194</v>
      </c>
      <c r="B394">
        <v>3000</v>
      </c>
      <c r="C394" t="s">
        <v>963</v>
      </c>
      <c r="D394" t="s">
        <v>218</v>
      </c>
      <c r="E394" t="s">
        <v>282</v>
      </c>
      <c r="F394" t="s">
        <v>964</v>
      </c>
      <c r="G394" t="str">
        <f>"201303000782"</f>
        <v>201303000782</v>
      </c>
      <c r="H394" t="s">
        <v>28</v>
      </c>
      <c r="I394">
        <v>0</v>
      </c>
      <c r="J394">
        <v>0</v>
      </c>
      <c r="K394">
        <v>0</v>
      </c>
      <c r="L394">
        <v>200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>
        <v>0</v>
      </c>
      <c r="AB394" t="s">
        <v>965</v>
      </c>
    </row>
    <row r="395" spans="1:28" x14ac:dyDescent="0.25">
      <c r="H395" t="s">
        <v>966</v>
      </c>
    </row>
    <row r="396" spans="1:28" x14ac:dyDescent="0.25">
      <c r="A396">
        <v>195</v>
      </c>
      <c r="B396">
        <v>3001</v>
      </c>
      <c r="C396" t="s">
        <v>417</v>
      </c>
      <c r="D396" t="s">
        <v>80</v>
      </c>
      <c r="E396" t="s">
        <v>15</v>
      </c>
      <c r="F396" t="s">
        <v>967</v>
      </c>
      <c r="G396" t="str">
        <f>"201102000372"</f>
        <v>201102000372</v>
      </c>
      <c r="H396" t="s">
        <v>119</v>
      </c>
      <c r="I396">
        <v>0</v>
      </c>
      <c r="J396">
        <v>0</v>
      </c>
      <c r="K396">
        <v>0</v>
      </c>
      <c r="L396">
        <v>260</v>
      </c>
      <c r="M396">
        <v>0</v>
      </c>
      <c r="N396">
        <v>70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0</v>
      </c>
      <c r="Z396">
        <v>0</v>
      </c>
      <c r="AA396">
        <v>0</v>
      </c>
      <c r="AB396" t="s">
        <v>968</v>
      </c>
    </row>
    <row r="397" spans="1:28" x14ac:dyDescent="0.25">
      <c r="H397" t="s">
        <v>969</v>
      </c>
    </row>
    <row r="398" spans="1:28" x14ac:dyDescent="0.25">
      <c r="A398">
        <v>196</v>
      </c>
      <c r="B398">
        <v>5097</v>
      </c>
      <c r="C398" t="s">
        <v>970</v>
      </c>
      <c r="D398" t="s">
        <v>84</v>
      </c>
      <c r="E398" t="s">
        <v>14</v>
      </c>
      <c r="F398" t="s">
        <v>971</v>
      </c>
      <c r="G398" t="str">
        <f>"201512004252"</f>
        <v>201512004252</v>
      </c>
      <c r="H398" t="s">
        <v>972</v>
      </c>
      <c r="I398">
        <v>0</v>
      </c>
      <c r="J398">
        <v>400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0</v>
      </c>
      <c r="AB398" t="s">
        <v>973</v>
      </c>
    </row>
    <row r="399" spans="1:28" x14ac:dyDescent="0.25">
      <c r="H399">
        <v>1009</v>
      </c>
    </row>
    <row r="400" spans="1:28" x14ac:dyDescent="0.25">
      <c r="A400">
        <v>197</v>
      </c>
      <c r="B400">
        <v>4243</v>
      </c>
      <c r="C400" t="s">
        <v>974</v>
      </c>
      <c r="D400" t="s">
        <v>975</v>
      </c>
      <c r="E400" t="s">
        <v>218</v>
      </c>
      <c r="F400" t="s">
        <v>976</v>
      </c>
      <c r="G400" t="str">
        <f>"00241141"</f>
        <v>00241141</v>
      </c>
      <c r="H400" t="s">
        <v>977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50</v>
      </c>
      <c r="O400">
        <v>0</v>
      </c>
      <c r="P400">
        <v>30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12</v>
      </c>
      <c r="AA400">
        <v>204</v>
      </c>
      <c r="AB400" t="s">
        <v>978</v>
      </c>
    </row>
    <row r="401" spans="1:28" x14ac:dyDescent="0.25">
      <c r="H401" t="s">
        <v>314</v>
      </c>
    </row>
    <row r="402" spans="1:28" x14ac:dyDescent="0.25">
      <c r="A402">
        <v>198</v>
      </c>
      <c r="B402">
        <v>2280</v>
      </c>
      <c r="C402" t="s">
        <v>979</v>
      </c>
      <c r="D402" t="s">
        <v>480</v>
      </c>
      <c r="E402" t="s">
        <v>117</v>
      </c>
      <c r="F402" t="s">
        <v>980</v>
      </c>
      <c r="G402" t="str">
        <f>"00011998"</f>
        <v>00011998</v>
      </c>
      <c r="H402" t="s">
        <v>981</v>
      </c>
      <c r="I402">
        <v>0</v>
      </c>
      <c r="J402">
        <v>0</v>
      </c>
      <c r="K402">
        <v>0</v>
      </c>
      <c r="L402">
        <v>200</v>
      </c>
      <c r="M402">
        <v>0</v>
      </c>
      <c r="N402">
        <v>70</v>
      </c>
      <c r="O402">
        <v>70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0</v>
      </c>
      <c r="AB402" t="s">
        <v>982</v>
      </c>
    </row>
    <row r="403" spans="1:28" x14ac:dyDescent="0.25">
      <c r="H403" t="s">
        <v>60</v>
      </c>
    </row>
    <row r="404" spans="1:28" x14ac:dyDescent="0.25">
      <c r="A404">
        <v>199</v>
      </c>
      <c r="B404">
        <v>2089</v>
      </c>
      <c r="C404" t="s">
        <v>186</v>
      </c>
      <c r="D404" t="s">
        <v>20</v>
      </c>
      <c r="E404" t="s">
        <v>983</v>
      </c>
      <c r="F404" t="s">
        <v>984</v>
      </c>
      <c r="G404" t="str">
        <f>"201603000389"</f>
        <v>201603000389</v>
      </c>
      <c r="H404" t="s">
        <v>985</v>
      </c>
      <c r="I404">
        <v>0</v>
      </c>
      <c r="J404">
        <v>0</v>
      </c>
      <c r="K404">
        <v>0</v>
      </c>
      <c r="L404">
        <v>200</v>
      </c>
      <c r="M404">
        <v>0</v>
      </c>
      <c r="N404">
        <v>70</v>
      </c>
      <c r="O404">
        <v>0</v>
      </c>
      <c r="P404">
        <v>50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0</v>
      </c>
      <c r="AB404" t="s">
        <v>986</v>
      </c>
    </row>
    <row r="405" spans="1:28" x14ac:dyDescent="0.25">
      <c r="H405" t="s">
        <v>987</v>
      </c>
    </row>
    <row r="406" spans="1:28" x14ac:dyDescent="0.25">
      <c r="A406">
        <v>200</v>
      </c>
      <c r="B406">
        <v>2834</v>
      </c>
      <c r="C406" t="s">
        <v>988</v>
      </c>
      <c r="D406" t="s">
        <v>187</v>
      </c>
      <c r="E406" t="s">
        <v>282</v>
      </c>
      <c r="F406" t="s">
        <v>989</v>
      </c>
      <c r="G406" t="str">
        <f>"201406007704"</f>
        <v>201406007704</v>
      </c>
      <c r="H406" t="s">
        <v>990</v>
      </c>
      <c r="I406">
        <v>0</v>
      </c>
      <c r="J406">
        <v>0</v>
      </c>
      <c r="K406">
        <v>0</v>
      </c>
      <c r="L406">
        <v>0</v>
      </c>
      <c r="M406">
        <v>100</v>
      </c>
      <c r="N406">
        <v>70</v>
      </c>
      <c r="O406">
        <v>0</v>
      </c>
      <c r="P406">
        <v>30</v>
      </c>
      <c r="Q406">
        <v>0</v>
      </c>
      <c r="R406">
        <v>0</v>
      </c>
      <c r="S406">
        <v>70</v>
      </c>
      <c r="T406">
        <v>30</v>
      </c>
      <c r="U406">
        <v>0</v>
      </c>
      <c r="V406">
        <v>0</v>
      </c>
      <c r="X406">
        <v>0</v>
      </c>
      <c r="Y406">
        <v>0</v>
      </c>
      <c r="Z406">
        <v>0</v>
      </c>
      <c r="AA406">
        <v>0</v>
      </c>
      <c r="AB406" t="s">
        <v>991</v>
      </c>
    </row>
    <row r="407" spans="1:28" x14ac:dyDescent="0.25">
      <c r="H407" t="s">
        <v>739</v>
      </c>
    </row>
    <row r="408" spans="1:28" x14ac:dyDescent="0.25">
      <c r="A408">
        <v>201</v>
      </c>
      <c r="B408">
        <v>1690</v>
      </c>
      <c r="C408" t="s">
        <v>992</v>
      </c>
      <c r="D408" t="s">
        <v>762</v>
      </c>
      <c r="E408" t="s">
        <v>14</v>
      </c>
      <c r="F408" t="s">
        <v>993</v>
      </c>
      <c r="G408" t="str">
        <f>"00130817"</f>
        <v>00130817</v>
      </c>
      <c r="H408" t="s">
        <v>994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70</v>
      </c>
      <c r="P408">
        <v>30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>
        <v>0</v>
      </c>
      <c r="AB408" t="s">
        <v>995</v>
      </c>
    </row>
    <row r="409" spans="1:28" x14ac:dyDescent="0.25">
      <c r="H409" t="s">
        <v>605</v>
      </c>
    </row>
    <row r="410" spans="1:28" x14ac:dyDescent="0.25">
      <c r="A410">
        <v>202</v>
      </c>
      <c r="B410">
        <v>4555</v>
      </c>
      <c r="C410" t="s">
        <v>996</v>
      </c>
      <c r="D410" t="s">
        <v>997</v>
      </c>
      <c r="E410" t="s">
        <v>134</v>
      </c>
      <c r="F410" t="s">
        <v>998</v>
      </c>
      <c r="G410" t="str">
        <f>"00036631"</f>
        <v>00036631</v>
      </c>
      <c r="H410" t="s">
        <v>999</v>
      </c>
      <c r="I410">
        <v>0</v>
      </c>
      <c r="J410">
        <v>0</v>
      </c>
      <c r="K410">
        <v>0</v>
      </c>
      <c r="L410">
        <v>200</v>
      </c>
      <c r="M410">
        <v>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>
        <v>0</v>
      </c>
      <c r="AB410" t="s">
        <v>1000</v>
      </c>
    </row>
    <row r="411" spans="1:28" x14ac:dyDescent="0.25">
      <c r="H411" t="s">
        <v>1001</v>
      </c>
    </row>
    <row r="412" spans="1:28" x14ac:dyDescent="0.25">
      <c r="A412">
        <v>203</v>
      </c>
      <c r="B412">
        <v>4375</v>
      </c>
      <c r="C412" t="s">
        <v>1002</v>
      </c>
      <c r="D412" t="s">
        <v>20</v>
      </c>
      <c r="E412" t="s">
        <v>218</v>
      </c>
      <c r="F412" t="s">
        <v>1003</v>
      </c>
      <c r="G412" t="str">
        <f>"00359155"</f>
        <v>00359155</v>
      </c>
      <c r="H412" t="s">
        <v>903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24</v>
      </c>
      <c r="AA412">
        <v>408</v>
      </c>
      <c r="AB412" t="s">
        <v>1004</v>
      </c>
    </row>
    <row r="413" spans="1:28" x14ac:dyDescent="0.25">
      <c r="H413">
        <v>1009</v>
      </c>
    </row>
    <row r="414" spans="1:28" x14ac:dyDescent="0.25">
      <c r="A414">
        <v>204</v>
      </c>
      <c r="B414">
        <v>4779</v>
      </c>
      <c r="C414" t="s">
        <v>1005</v>
      </c>
      <c r="D414" t="s">
        <v>1006</v>
      </c>
      <c r="E414" t="s">
        <v>1007</v>
      </c>
      <c r="F414" t="s">
        <v>1008</v>
      </c>
      <c r="G414" t="str">
        <f>"00240285"</f>
        <v>00240285</v>
      </c>
      <c r="H414" t="s">
        <v>903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24</v>
      </c>
      <c r="AA414">
        <v>408</v>
      </c>
      <c r="AB414" t="s">
        <v>1004</v>
      </c>
    </row>
    <row r="415" spans="1:28" x14ac:dyDescent="0.25">
      <c r="H415" t="s">
        <v>152</v>
      </c>
    </row>
    <row r="416" spans="1:28" x14ac:dyDescent="0.25">
      <c r="A416">
        <v>205</v>
      </c>
      <c r="B416">
        <v>2858</v>
      </c>
      <c r="C416" t="s">
        <v>1009</v>
      </c>
      <c r="D416" t="s">
        <v>1010</v>
      </c>
      <c r="E416" t="s">
        <v>44</v>
      </c>
      <c r="F416" t="s">
        <v>1011</v>
      </c>
      <c r="G416" t="str">
        <f>"201406013238"</f>
        <v>201406013238</v>
      </c>
      <c r="H416" t="s">
        <v>130</v>
      </c>
      <c r="I416">
        <v>0</v>
      </c>
      <c r="J416">
        <v>0</v>
      </c>
      <c r="K416">
        <v>0</v>
      </c>
      <c r="L416">
        <v>200</v>
      </c>
      <c r="M416">
        <v>0</v>
      </c>
      <c r="N416">
        <v>70</v>
      </c>
      <c r="O416">
        <v>70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>
        <v>0</v>
      </c>
      <c r="AB416" t="s">
        <v>1012</v>
      </c>
    </row>
    <row r="417" spans="1:28" x14ac:dyDescent="0.25">
      <c r="H417" t="s">
        <v>1013</v>
      </c>
    </row>
    <row r="418" spans="1:28" x14ac:dyDescent="0.25">
      <c r="A418">
        <v>206</v>
      </c>
      <c r="B418">
        <v>194</v>
      </c>
      <c r="C418" t="s">
        <v>928</v>
      </c>
      <c r="D418" t="s">
        <v>19</v>
      </c>
      <c r="E418" t="s">
        <v>38</v>
      </c>
      <c r="F418" t="s">
        <v>1014</v>
      </c>
      <c r="G418" t="str">
        <f>"201304000629"</f>
        <v>201304000629</v>
      </c>
      <c r="H418">
        <v>704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0</v>
      </c>
      <c r="Z418">
        <v>24</v>
      </c>
      <c r="AA418">
        <v>408</v>
      </c>
      <c r="AB418">
        <v>1142</v>
      </c>
    </row>
    <row r="419" spans="1:28" x14ac:dyDescent="0.25">
      <c r="H419" t="s">
        <v>1015</v>
      </c>
    </row>
    <row r="420" spans="1:28" x14ac:dyDescent="0.25">
      <c r="A420">
        <v>207</v>
      </c>
      <c r="B420">
        <v>3755</v>
      </c>
      <c r="C420" t="s">
        <v>1016</v>
      </c>
      <c r="D420" t="s">
        <v>1017</v>
      </c>
      <c r="E420" t="s">
        <v>587</v>
      </c>
      <c r="F420" t="s">
        <v>1018</v>
      </c>
      <c r="G420" t="str">
        <f>"200802008380"</f>
        <v>200802008380</v>
      </c>
      <c r="H420" t="s">
        <v>827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>
        <v>0</v>
      </c>
      <c r="AB420" t="s">
        <v>1019</v>
      </c>
    </row>
    <row r="421" spans="1:28" x14ac:dyDescent="0.25">
      <c r="H421">
        <v>1009</v>
      </c>
    </row>
    <row r="422" spans="1:28" x14ac:dyDescent="0.25">
      <c r="A422">
        <v>208</v>
      </c>
      <c r="B422">
        <v>1765</v>
      </c>
      <c r="C422" t="s">
        <v>1020</v>
      </c>
      <c r="D422" t="s">
        <v>50</v>
      </c>
      <c r="E422" t="s">
        <v>14</v>
      </c>
      <c r="F422" t="s">
        <v>1021</v>
      </c>
      <c r="G422" t="str">
        <f>"00010550"</f>
        <v>00010550</v>
      </c>
      <c r="H422" t="s">
        <v>1022</v>
      </c>
      <c r="I422">
        <v>0</v>
      </c>
      <c r="J422">
        <v>0</v>
      </c>
      <c r="K422">
        <v>0</v>
      </c>
      <c r="L422">
        <v>200</v>
      </c>
      <c r="M422">
        <v>0</v>
      </c>
      <c r="N422">
        <v>70</v>
      </c>
      <c r="O422">
        <v>0</v>
      </c>
      <c r="P422">
        <v>50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>
        <v>0</v>
      </c>
      <c r="AB422" t="s">
        <v>1023</v>
      </c>
    </row>
    <row r="423" spans="1:28" x14ac:dyDescent="0.25">
      <c r="H423">
        <v>1009</v>
      </c>
    </row>
    <row r="424" spans="1:28" x14ac:dyDescent="0.25">
      <c r="A424">
        <v>209</v>
      </c>
      <c r="B424">
        <v>4568</v>
      </c>
      <c r="C424" t="s">
        <v>1024</v>
      </c>
      <c r="D424" t="s">
        <v>138</v>
      </c>
      <c r="E424" t="s">
        <v>1025</v>
      </c>
      <c r="F424" t="s">
        <v>1026</v>
      </c>
      <c r="G424" t="str">
        <f>"201303000392"</f>
        <v>201303000392</v>
      </c>
      <c r="H424" t="s">
        <v>448</v>
      </c>
      <c r="I424">
        <v>0</v>
      </c>
      <c r="J424">
        <v>0</v>
      </c>
      <c r="K424">
        <v>0</v>
      </c>
      <c r="L424">
        <v>200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>
        <v>0</v>
      </c>
      <c r="AB424" t="s">
        <v>1027</v>
      </c>
    </row>
    <row r="425" spans="1:28" x14ac:dyDescent="0.25">
      <c r="H425" t="s">
        <v>1028</v>
      </c>
    </row>
    <row r="426" spans="1:28" x14ac:dyDescent="0.25">
      <c r="A426">
        <v>210</v>
      </c>
      <c r="B426">
        <v>4458</v>
      </c>
      <c r="C426" t="s">
        <v>1029</v>
      </c>
      <c r="D426" t="s">
        <v>1030</v>
      </c>
      <c r="E426" t="s">
        <v>154</v>
      </c>
      <c r="F426" t="s">
        <v>1031</v>
      </c>
      <c r="G426" t="str">
        <f>"200801005255"</f>
        <v>200801005255</v>
      </c>
      <c r="H426" t="s">
        <v>1032</v>
      </c>
      <c r="I426">
        <v>0</v>
      </c>
      <c r="J426">
        <v>0</v>
      </c>
      <c r="K426">
        <v>0</v>
      </c>
      <c r="L426">
        <v>200</v>
      </c>
      <c r="M426">
        <v>0</v>
      </c>
      <c r="N426">
        <v>70</v>
      </c>
      <c r="O426">
        <v>70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>
        <v>0</v>
      </c>
      <c r="AB426" t="s">
        <v>1033</v>
      </c>
    </row>
    <row r="427" spans="1:28" x14ac:dyDescent="0.25">
      <c r="H427" t="s">
        <v>1034</v>
      </c>
    </row>
    <row r="428" spans="1:28" x14ac:dyDescent="0.25">
      <c r="A428">
        <v>211</v>
      </c>
      <c r="B428">
        <v>1094</v>
      </c>
      <c r="C428" t="s">
        <v>1035</v>
      </c>
      <c r="D428" t="s">
        <v>1036</v>
      </c>
      <c r="E428" t="s">
        <v>20</v>
      </c>
      <c r="F428" t="s">
        <v>1037</v>
      </c>
      <c r="G428" t="str">
        <f>"201304001297"</f>
        <v>201304001297</v>
      </c>
      <c r="H428" t="s">
        <v>568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70</v>
      </c>
      <c r="O428">
        <v>30</v>
      </c>
      <c r="P428">
        <v>30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>
        <v>0</v>
      </c>
      <c r="AB428" t="s">
        <v>1038</v>
      </c>
    </row>
    <row r="429" spans="1:28" x14ac:dyDescent="0.25">
      <c r="H429" t="s">
        <v>1039</v>
      </c>
    </row>
    <row r="430" spans="1:28" x14ac:dyDescent="0.25">
      <c r="A430">
        <v>212</v>
      </c>
      <c r="B430">
        <v>2555</v>
      </c>
      <c r="C430" t="s">
        <v>1040</v>
      </c>
      <c r="D430" t="s">
        <v>1041</v>
      </c>
      <c r="E430" t="s">
        <v>14</v>
      </c>
      <c r="F430" t="s">
        <v>1042</v>
      </c>
      <c r="G430" t="str">
        <f>"201304004564"</f>
        <v>201304004564</v>
      </c>
      <c r="H430">
        <v>660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24</v>
      </c>
      <c r="AA430">
        <v>408</v>
      </c>
      <c r="AB430">
        <v>1138</v>
      </c>
    </row>
    <row r="431" spans="1:28" x14ac:dyDescent="0.25">
      <c r="H431" t="s">
        <v>1043</v>
      </c>
    </row>
    <row r="432" spans="1:28" x14ac:dyDescent="0.25">
      <c r="A432">
        <v>213</v>
      </c>
      <c r="B432">
        <v>4744</v>
      </c>
      <c r="C432" t="s">
        <v>1044</v>
      </c>
      <c r="D432" t="s">
        <v>1045</v>
      </c>
      <c r="E432" t="s">
        <v>15</v>
      </c>
      <c r="F432" t="s">
        <v>1046</v>
      </c>
      <c r="G432" t="str">
        <f>"00230240"</f>
        <v>00230240</v>
      </c>
      <c r="H432" t="s">
        <v>503</v>
      </c>
      <c r="I432">
        <v>0</v>
      </c>
      <c r="J432">
        <v>0</v>
      </c>
      <c r="K432">
        <v>0</v>
      </c>
      <c r="L432">
        <v>200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1</v>
      </c>
      <c r="Y432">
        <v>0</v>
      </c>
      <c r="Z432">
        <v>0</v>
      </c>
      <c r="AA432">
        <v>0</v>
      </c>
      <c r="AB432" t="s">
        <v>1047</v>
      </c>
    </row>
    <row r="433" spans="1:28" x14ac:dyDescent="0.25">
      <c r="H433" t="s">
        <v>1048</v>
      </c>
    </row>
    <row r="434" spans="1:28" x14ac:dyDescent="0.25">
      <c r="A434">
        <v>214</v>
      </c>
      <c r="B434">
        <v>4884</v>
      </c>
      <c r="C434" t="s">
        <v>1049</v>
      </c>
      <c r="D434" t="s">
        <v>116</v>
      </c>
      <c r="E434" t="s">
        <v>393</v>
      </c>
      <c r="F434" t="s">
        <v>1050</v>
      </c>
      <c r="G434" t="str">
        <f>"201406011078"</f>
        <v>201406011078</v>
      </c>
      <c r="H434" t="s">
        <v>1051</v>
      </c>
      <c r="I434">
        <v>0</v>
      </c>
      <c r="J434">
        <v>0</v>
      </c>
      <c r="K434">
        <v>0</v>
      </c>
      <c r="L434">
        <v>260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0</v>
      </c>
      <c r="AA434">
        <v>0</v>
      </c>
      <c r="AB434" t="s">
        <v>1052</v>
      </c>
    </row>
    <row r="435" spans="1:28" x14ac:dyDescent="0.25">
      <c r="H435" t="s">
        <v>1053</v>
      </c>
    </row>
    <row r="436" spans="1:28" x14ac:dyDescent="0.25">
      <c r="A436">
        <v>215</v>
      </c>
      <c r="B436">
        <v>1428</v>
      </c>
      <c r="C436" t="s">
        <v>1054</v>
      </c>
      <c r="D436" t="s">
        <v>19</v>
      </c>
      <c r="E436" t="s">
        <v>311</v>
      </c>
      <c r="F436" t="s">
        <v>1055</v>
      </c>
      <c r="G436" t="str">
        <f>"201402011763"</f>
        <v>201402011763</v>
      </c>
      <c r="H436" t="s">
        <v>1056</v>
      </c>
      <c r="I436">
        <v>0</v>
      </c>
      <c r="J436">
        <v>0</v>
      </c>
      <c r="K436">
        <v>0</v>
      </c>
      <c r="L436">
        <v>200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>
        <v>0</v>
      </c>
      <c r="AB436" t="s">
        <v>1057</v>
      </c>
    </row>
    <row r="437" spans="1:28" x14ac:dyDescent="0.25">
      <c r="H437" t="s">
        <v>1058</v>
      </c>
    </row>
    <row r="438" spans="1:28" x14ac:dyDescent="0.25">
      <c r="A438">
        <v>216</v>
      </c>
      <c r="B438">
        <v>3926</v>
      </c>
      <c r="C438" t="s">
        <v>1059</v>
      </c>
      <c r="D438" t="s">
        <v>471</v>
      </c>
      <c r="E438" t="s">
        <v>14</v>
      </c>
      <c r="F438" t="s">
        <v>1060</v>
      </c>
      <c r="G438" t="str">
        <f>"201304000381"</f>
        <v>201304000381</v>
      </c>
      <c r="H438">
        <v>836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70</v>
      </c>
      <c r="O438">
        <v>30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>
        <v>0</v>
      </c>
      <c r="AB438">
        <v>1136</v>
      </c>
    </row>
    <row r="439" spans="1:28" x14ac:dyDescent="0.25">
      <c r="H439" t="s">
        <v>1061</v>
      </c>
    </row>
    <row r="440" spans="1:28" x14ac:dyDescent="0.25">
      <c r="A440">
        <v>217</v>
      </c>
      <c r="B440">
        <v>4030</v>
      </c>
      <c r="C440" t="s">
        <v>1062</v>
      </c>
      <c r="D440" t="s">
        <v>155</v>
      </c>
      <c r="E440" t="s">
        <v>20</v>
      </c>
      <c r="F440" t="s">
        <v>1063</v>
      </c>
      <c r="G440" t="str">
        <f>"00227754"</f>
        <v>00227754</v>
      </c>
      <c r="H440" t="s">
        <v>1064</v>
      </c>
      <c r="I440">
        <v>0</v>
      </c>
      <c r="J440">
        <v>0</v>
      </c>
      <c r="K440">
        <v>0</v>
      </c>
      <c r="L440">
        <v>200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>
        <v>0</v>
      </c>
      <c r="AB440" t="s">
        <v>1065</v>
      </c>
    </row>
    <row r="441" spans="1:28" x14ac:dyDescent="0.25">
      <c r="H441" t="s">
        <v>1066</v>
      </c>
    </row>
    <row r="442" spans="1:28" x14ac:dyDescent="0.25">
      <c r="A442">
        <v>218</v>
      </c>
      <c r="B442">
        <v>3243</v>
      </c>
      <c r="C442" t="s">
        <v>1067</v>
      </c>
      <c r="D442" t="s">
        <v>14</v>
      </c>
      <c r="E442" t="s">
        <v>38</v>
      </c>
      <c r="F442" t="s">
        <v>1068</v>
      </c>
      <c r="G442" t="str">
        <f>"201406010987"</f>
        <v>201406010987</v>
      </c>
      <c r="H442">
        <v>803</v>
      </c>
      <c r="I442">
        <v>0</v>
      </c>
      <c r="J442">
        <v>0</v>
      </c>
      <c r="K442">
        <v>0</v>
      </c>
      <c r="L442">
        <v>260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>
        <v>0</v>
      </c>
      <c r="AB442">
        <v>1133</v>
      </c>
    </row>
    <row r="443" spans="1:28" x14ac:dyDescent="0.25">
      <c r="H443" t="s">
        <v>1069</v>
      </c>
    </row>
    <row r="444" spans="1:28" x14ac:dyDescent="0.25">
      <c r="A444">
        <v>219</v>
      </c>
      <c r="B444">
        <v>4474</v>
      </c>
      <c r="C444" t="s">
        <v>1070</v>
      </c>
      <c r="D444" t="s">
        <v>458</v>
      </c>
      <c r="E444" t="s">
        <v>44</v>
      </c>
      <c r="F444" t="s">
        <v>1071</v>
      </c>
      <c r="G444" t="str">
        <f>"200801002097"</f>
        <v>200801002097</v>
      </c>
      <c r="H444">
        <v>803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30</v>
      </c>
      <c r="P444">
        <v>30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>
        <v>0</v>
      </c>
      <c r="AB444">
        <v>1133</v>
      </c>
    </row>
    <row r="445" spans="1:28" x14ac:dyDescent="0.25">
      <c r="H445" t="s">
        <v>1072</v>
      </c>
    </row>
    <row r="446" spans="1:28" x14ac:dyDescent="0.25">
      <c r="A446">
        <v>220</v>
      </c>
      <c r="B446">
        <v>1357</v>
      </c>
      <c r="C446" t="s">
        <v>1073</v>
      </c>
      <c r="D446" t="s">
        <v>97</v>
      </c>
      <c r="E446" t="s">
        <v>20</v>
      </c>
      <c r="F446" t="s">
        <v>1074</v>
      </c>
      <c r="G446" t="str">
        <f>"200802000532"</f>
        <v>200802000532</v>
      </c>
      <c r="H446" t="s">
        <v>221</v>
      </c>
      <c r="I446">
        <v>0</v>
      </c>
      <c r="J446">
        <v>0</v>
      </c>
      <c r="K446">
        <v>0</v>
      </c>
      <c r="L446">
        <v>200</v>
      </c>
      <c r="M446">
        <v>0</v>
      </c>
      <c r="N446">
        <v>70</v>
      </c>
      <c r="O446">
        <v>0</v>
      </c>
      <c r="P446">
        <v>50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>
        <v>0</v>
      </c>
      <c r="AB446" t="s">
        <v>1075</v>
      </c>
    </row>
    <row r="447" spans="1:28" x14ac:dyDescent="0.25">
      <c r="H447" t="s">
        <v>102</v>
      </c>
    </row>
    <row r="448" spans="1:28" x14ac:dyDescent="0.25">
      <c r="A448">
        <v>221</v>
      </c>
      <c r="B448">
        <v>2140</v>
      </c>
      <c r="C448" t="s">
        <v>1076</v>
      </c>
      <c r="D448" t="s">
        <v>757</v>
      </c>
      <c r="E448" t="s">
        <v>869</v>
      </c>
      <c r="F448" t="s">
        <v>1077</v>
      </c>
      <c r="G448" t="str">
        <f>"00217918"</f>
        <v>00217918</v>
      </c>
      <c r="H448" t="s">
        <v>330</v>
      </c>
      <c r="I448">
        <v>0</v>
      </c>
      <c r="J448">
        <v>0</v>
      </c>
      <c r="K448">
        <v>0</v>
      </c>
      <c r="L448">
        <v>200</v>
      </c>
      <c r="M448">
        <v>0</v>
      </c>
      <c r="N448">
        <v>70</v>
      </c>
      <c r="O448">
        <v>0</v>
      </c>
      <c r="P448">
        <v>70</v>
      </c>
      <c r="Q448">
        <v>0</v>
      </c>
      <c r="R448">
        <v>30</v>
      </c>
      <c r="S448">
        <v>0</v>
      </c>
      <c r="T448">
        <v>0</v>
      </c>
      <c r="U448">
        <v>0</v>
      </c>
      <c r="V448">
        <v>0</v>
      </c>
      <c r="X448">
        <v>1</v>
      </c>
      <c r="Y448">
        <v>0</v>
      </c>
      <c r="Z448">
        <v>0</v>
      </c>
      <c r="AA448">
        <v>0</v>
      </c>
      <c r="AB448" t="s">
        <v>1078</v>
      </c>
    </row>
    <row r="449" spans="1:28" x14ac:dyDescent="0.25">
      <c r="H449" t="s">
        <v>1079</v>
      </c>
    </row>
    <row r="450" spans="1:28" x14ac:dyDescent="0.25">
      <c r="A450">
        <v>222</v>
      </c>
      <c r="B450">
        <v>2130</v>
      </c>
      <c r="C450" t="s">
        <v>445</v>
      </c>
      <c r="D450" t="s">
        <v>1080</v>
      </c>
      <c r="E450" t="s">
        <v>154</v>
      </c>
      <c r="F450" t="s">
        <v>1081</v>
      </c>
      <c r="G450" t="str">
        <f>"00083481"</f>
        <v>00083481</v>
      </c>
      <c r="H450" t="s">
        <v>1082</v>
      </c>
      <c r="I450">
        <v>0</v>
      </c>
      <c r="J450">
        <v>0</v>
      </c>
      <c r="K450">
        <v>0</v>
      </c>
      <c r="L450">
        <v>0</v>
      </c>
      <c r="M450">
        <v>100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>
        <v>0</v>
      </c>
      <c r="AB450" t="s">
        <v>1083</v>
      </c>
    </row>
    <row r="451" spans="1:28" x14ac:dyDescent="0.25">
      <c r="H451">
        <v>1009</v>
      </c>
    </row>
    <row r="452" spans="1:28" x14ac:dyDescent="0.25">
      <c r="A452">
        <v>223</v>
      </c>
      <c r="B452">
        <v>752</v>
      </c>
      <c r="C452" t="s">
        <v>1084</v>
      </c>
      <c r="D452" t="s">
        <v>411</v>
      </c>
      <c r="E452" t="s">
        <v>14</v>
      </c>
      <c r="F452" t="s">
        <v>1085</v>
      </c>
      <c r="G452" t="str">
        <f>"201504004883"</f>
        <v>201504004883</v>
      </c>
      <c r="H452" t="s">
        <v>1086</v>
      </c>
      <c r="I452">
        <v>0</v>
      </c>
      <c r="J452">
        <v>0</v>
      </c>
      <c r="K452">
        <v>0</v>
      </c>
      <c r="L452">
        <v>200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>
        <v>0</v>
      </c>
      <c r="AB452" t="s">
        <v>1087</v>
      </c>
    </row>
    <row r="453" spans="1:28" x14ac:dyDescent="0.25">
      <c r="H453" t="s">
        <v>1088</v>
      </c>
    </row>
    <row r="454" spans="1:28" x14ac:dyDescent="0.25">
      <c r="A454">
        <v>224</v>
      </c>
      <c r="B454">
        <v>2487</v>
      </c>
      <c r="C454" t="s">
        <v>1089</v>
      </c>
      <c r="D454" t="s">
        <v>19</v>
      </c>
      <c r="E454" t="s">
        <v>20</v>
      </c>
      <c r="F454" t="s">
        <v>1090</v>
      </c>
      <c r="G454" t="str">
        <f>"00360860"</f>
        <v>00360860</v>
      </c>
      <c r="H454" t="s">
        <v>881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14</v>
      </c>
      <c r="AA454">
        <v>238</v>
      </c>
      <c r="AB454" t="s">
        <v>1091</v>
      </c>
    </row>
    <row r="455" spans="1:28" x14ac:dyDescent="0.25">
      <c r="H455" t="s">
        <v>1092</v>
      </c>
    </row>
    <row r="456" spans="1:28" x14ac:dyDescent="0.25">
      <c r="A456">
        <v>225</v>
      </c>
      <c r="B456">
        <v>3470</v>
      </c>
      <c r="C456" t="s">
        <v>1093</v>
      </c>
      <c r="D456" t="s">
        <v>50</v>
      </c>
      <c r="E456" t="s">
        <v>657</v>
      </c>
      <c r="F456" t="s">
        <v>1094</v>
      </c>
      <c r="G456" t="str">
        <f>"201406008707"</f>
        <v>201406008707</v>
      </c>
      <c r="H456" t="s">
        <v>1032</v>
      </c>
      <c r="I456">
        <v>0</v>
      </c>
      <c r="J456">
        <v>0</v>
      </c>
      <c r="K456">
        <v>0</v>
      </c>
      <c r="L456">
        <v>260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>
        <v>0</v>
      </c>
      <c r="AB456" t="s">
        <v>1091</v>
      </c>
    </row>
    <row r="457" spans="1:28" x14ac:dyDescent="0.25">
      <c r="H457" t="s">
        <v>1095</v>
      </c>
    </row>
    <row r="458" spans="1:28" x14ac:dyDescent="0.25">
      <c r="A458">
        <v>226</v>
      </c>
      <c r="B458">
        <v>4022</v>
      </c>
      <c r="C458" t="s">
        <v>1096</v>
      </c>
      <c r="D458" t="s">
        <v>138</v>
      </c>
      <c r="E458" t="s">
        <v>311</v>
      </c>
      <c r="F458" t="s">
        <v>1097</v>
      </c>
      <c r="G458" t="str">
        <f>"201410011249"</f>
        <v>201410011249</v>
      </c>
      <c r="H458" t="s">
        <v>1098</v>
      </c>
      <c r="I458">
        <v>0</v>
      </c>
      <c r="J458">
        <v>0</v>
      </c>
      <c r="K458">
        <v>0</v>
      </c>
      <c r="L458">
        <v>200</v>
      </c>
      <c r="M458">
        <v>0</v>
      </c>
      <c r="N458">
        <v>70</v>
      </c>
      <c r="O458">
        <v>0</v>
      </c>
      <c r="P458">
        <v>30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0</v>
      </c>
      <c r="AB458" t="s">
        <v>1099</v>
      </c>
    </row>
    <row r="459" spans="1:28" x14ac:dyDescent="0.25">
      <c r="H459" t="s">
        <v>1100</v>
      </c>
    </row>
    <row r="460" spans="1:28" x14ac:dyDescent="0.25">
      <c r="A460">
        <v>227</v>
      </c>
      <c r="B460">
        <v>580</v>
      </c>
      <c r="C460" t="s">
        <v>1101</v>
      </c>
      <c r="D460" t="s">
        <v>1102</v>
      </c>
      <c r="E460" t="s">
        <v>1103</v>
      </c>
      <c r="F460" t="s">
        <v>1104</v>
      </c>
      <c r="G460" t="str">
        <f>"00308790"</f>
        <v>00308790</v>
      </c>
      <c r="H460" t="s">
        <v>1105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24</v>
      </c>
      <c r="AA460">
        <v>408</v>
      </c>
      <c r="AB460" t="s">
        <v>1106</v>
      </c>
    </row>
    <row r="461" spans="1:28" x14ac:dyDescent="0.25">
      <c r="H461" t="s">
        <v>1107</v>
      </c>
    </row>
    <row r="462" spans="1:28" x14ac:dyDescent="0.25">
      <c r="A462">
        <v>228</v>
      </c>
      <c r="B462">
        <v>4281</v>
      </c>
      <c r="C462" t="s">
        <v>1108</v>
      </c>
      <c r="D462" t="s">
        <v>26</v>
      </c>
      <c r="E462" t="s">
        <v>277</v>
      </c>
      <c r="F462" t="s">
        <v>1109</v>
      </c>
      <c r="G462" t="str">
        <f>"200712000981"</f>
        <v>200712000981</v>
      </c>
      <c r="H462">
        <v>858</v>
      </c>
      <c r="I462">
        <v>0</v>
      </c>
      <c r="J462">
        <v>0</v>
      </c>
      <c r="K462">
        <v>0</v>
      </c>
      <c r="L462">
        <v>200</v>
      </c>
      <c r="M462">
        <v>0</v>
      </c>
      <c r="N462">
        <v>70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>
        <v>0</v>
      </c>
      <c r="AB462">
        <v>1128</v>
      </c>
    </row>
    <row r="463" spans="1:28" x14ac:dyDescent="0.25">
      <c r="H463" t="s">
        <v>739</v>
      </c>
    </row>
    <row r="464" spans="1:28" x14ac:dyDescent="0.25">
      <c r="A464">
        <v>229</v>
      </c>
      <c r="B464">
        <v>3275</v>
      </c>
      <c r="C464" t="s">
        <v>1110</v>
      </c>
      <c r="D464" t="s">
        <v>265</v>
      </c>
      <c r="E464" t="s">
        <v>1111</v>
      </c>
      <c r="F464" t="s">
        <v>1112</v>
      </c>
      <c r="G464" t="str">
        <f>"201304004849"</f>
        <v>201304004849</v>
      </c>
      <c r="H464">
        <v>858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70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>
        <v>0</v>
      </c>
      <c r="AB464">
        <v>1128</v>
      </c>
    </row>
    <row r="465" spans="1:28" x14ac:dyDescent="0.25">
      <c r="H465" t="s">
        <v>1113</v>
      </c>
    </row>
    <row r="466" spans="1:28" x14ac:dyDescent="0.25">
      <c r="A466">
        <v>230</v>
      </c>
      <c r="B466">
        <v>872</v>
      </c>
      <c r="C466" t="s">
        <v>1114</v>
      </c>
      <c r="D466" t="s">
        <v>43</v>
      </c>
      <c r="E466" t="s">
        <v>80</v>
      </c>
      <c r="F466" t="s">
        <v>1115</v>
      </c>
      <c r="G466" t="str">
        <f>"00267269"</f>
        <v>00267269</v>
      </c>
      <c r="H466" t="s">
        <v>150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70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>
        <v>0</v>
      </c>
      <c r="AB466" t="s">
        <v>1116</v>
      </c>
    </row>
    <row r="467" spans="1:28" x14ac:dyDescent="0.25">
      <c r="H467" t="s">
        <v>1117</v>
      </c>
    </row>
    <row r="468" spans="1:28" x14ac:dyDescent="0.25">
      <c r="A468">
        <v>231</v>
      </c>
      <c r="B468">
        <v>924</v>
      </c>
      <c r="C468" t="s">
        <v>1118</v>
      </c>
      <c r="D468" t="s">
        <v>265</v>
      </c>
      <c r="E468" t="s">
        <v>109</v>
      </c>
      <c r="F468" t="s">
        <v>1119</v>
      </c>
      <c r="G468" t="str">
        <f>"201405001608"</f>
        <v>201405001608</v>
      </c>
      <c r="H468" t="s">
        <v>1051</v>
      </c>
      <c r="I468">
        <v>0</v>
      </c>
      <c r="J468">
        <v>0</v>
      </c>
      <c r="K468">
        <v>0</v>
      </c>
      <c r="L468">
        <v>200</v>
      </c>
      <c r="M468">
        <v>0</v>
      </c>
      <c r="N468">
        <v>70</v>
      </c>
      <c r="O468">
        <v>0</v>
      </c>
      <c r="P468">
        <v>50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0</v>
      </c>
      <c r="AA468">
        <v>0</v>
      </c>
      <c r="AB468" t="s">
        <v>1120</v>
      </c>
    </row>
    <row r="469" spans="1:28" x14ac:dyDescent="0.25">
      <c r="H469">
        <v>1009</v>
      </c>
    </row>
    <row r="470" spans="1:28" x14ac:dyDescent="0.25">
      <c r="A470">
        <v>232</v>
      </c>
      <c r="B470">
        <v>719</v>
      </c>
      <c r="C470" t="s">
        <v>1121</v>
      </c>
      <c r="D470" t="s">
        <v>32</v>
      </c>
      <c r="E470" t="s">
        <v>15</v>
      </c>
      <c r="F470" t="s">
        <v>1122</v>
      </c>
      <c r="G470" t="str">
        <f>"200801002173"</f>
        <v>200801002173</v>
      </c>
      <c r="H470" t="s">
        <v>1123</v>
      </c>
      <c r="I470">
        <v>150</v>
      </c>
      <c r="J470">
        <v>0</v>
      </c>
      <c r="K470">
        <v>0</v>
      </c>
      <c r="L470">
        <v>200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0</v>
      </c>
      <c r="Z470">
        <v>0</v>
      </c>
      <c r="AA470">
        <v>0</v>
      </c>
      <c r="AB470" t="s">
        <v>1124</v>
      </c>
    </row>
    <row r="471" spans="1:28" x14ac:dyDescent="0.25">
      <c r="H471" t="s">
        <v>1125</v>
      </c>
    </row>
    <row r="472" spans="1:28" x14ac:dyDescent="0.25">
      <c r="A472">
        <v>233</v>
      </c>
      <c r="B472">
        <v>2388</v>
      </c>
      <c r="C472" t="s">
        <v>186</v>
      </c>
      <c r="D472" t="s">
        <v>807</v>
      </c>
      <c r="E472" t="s">
        <v>1126</v>
      </c>
      <c r="F472" t="s">
        <v>1127</v>
      </c>
      <c r="G472" t="str">
        <f>"201506000261"</f>
        <v>201506000261</v>
      </c>
      <c r="H472" t="s">
        <v>981</v>
      </c>
      <c r="I472">
        <v>150</v>
      </c>
      <c r="J472">
        <v>0</v>
      </c>
      <c r="K472">
        <v>0</v>
      </c>
      <c r="L472">
        <v>0</v>
      </c>
      <c r="M472">
        <v>0</v>
      </c>
      <c r="N472">
        <v>50</v>
      </c>
      <c r="O472">
        <v>70</v>
      </c>
      <c r="P472">
        <v>0</v>
      </c>
      <c r="Q472">
        <v>50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>
        <v>0</v>
      </c>
      <c r="AB472" t="s">
        <v>1128</v>
      </c>
    </row>
    <row r="473" spans="1:28" x14ac:dyDescent="0.25">
      <c r="H473" t="s">
        <v>1129</v>
      </c>
    </row>
    <row r="474" spans="1:28" x14ac:dyDescent="0.25">
      <c r="A474">
        <v>234</v>
      </c>
      <c r="B474">
        <v>4604</v>
      </c>
      <c r="C474" t="s">
        <v>1130</v>
      </c>
      <c r="D474" t="s">
        <v>179</v>
      </c>
      <c r="E474" t="s">
        <v>762</v>
      </c>
      <c r="F474" t="s">
        <v>1131</v>
      </c>
      <c r="G474" t="str">
        <f>"201406007680"</f>
        <v>201406007680</v>
      </c>
      <c r="H474" t="s">
        <v>1132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24</v>
      </c>
      <c r="AA474">
        <v>408</v>
      </c>
      <c r="AB474" t="s">
        <v>1133</v>
      </c>
    </row>
    <row r="475" spans="1:28" x14ac:dyDescent="0.25">
      <c r="H475" t="s">
        <v>1134</v>
      </c>
    </row>
    <row r="476" spans="1:28" x14ac:dyDescent="0.25">
      <c r="A476">
        <v>235</v>
      </c>
      <c r="B476">
        <v>2693</v>
      </c>
      <c r="C476" t="s">
        <v>1135</v>
      </c>
      <c r="D476" t="s">
        <v>187</v>
      </c>
      <c r="E476" t="s">
        <v>20</v>
      </c>
      <c r="F476" t="s">
        <v>1136</v>
      </c>
      <c r="G476" t="str">
        <f>"201304002163"</f>
        <v>201304002163</v>
      </c>
      <c r="H476" t="s">
        <v>87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70</v>
      </c>
      <c r="O476">
        <v>0</v>
      </c>
      <c r="P476">
        <v>50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0</v>
      </c>
      <c r="AB476" t="s">
        <v>1137</v>
      </c>
    </row>
    <row r="477" spans="1:28" x14ac:dyDescent="0.25">
      <c r="H477" t="s">
        <v>1138</v>
      </c>
    </row>
    <row r="478" spans="1:28" x14ac:dyDescent="0.25">
      <c r="A478">
        <v>236</v>
      </c>
      <c r="B478">
        <v>4254</v>
      </c>
      <c r="C478" t="s">
        <v>1139</v>
      </c>
      <c r="D478" t="s">
        <v>1140</v>
      </c>
      <c r="E478" t="s">
        <v>247</v>
      </c>
      <c r="F478" t="s">
        <v>1141</v>
      </c>
      <c r="G478" t="str">
        <f>"200801008187"</f>
        <v>200801008187</v>
      </c>
      <c r="H478" t="s">
        <v>87</v>
      </c>
      <c r="I478">
        <v>0</v>
      </c>
      <c r="J478">
        <v>0</v>
      </c>
      <c r="K478">
        <v>0</v>
      </c>
      <c r="L478">
        <v>200</v>
      </c>
      <c r="M478">
        <v>0</v>
      </c>
      <c r="N478">
        <v>70</v>
      </c>
      <c r="O478">
        <v>50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0</v>
      </c>
      <c r="AB478" t="s">
        <v>1137</v>
      </c>
    </row>
    <row r="479" spans="1:28" x14ac:dyDescent="0.25">
      <c r="H479" t="s">
        <v>1142</v>
      </c>
    </row>
    <row r="480" spans="1:28" x14ac:dyDescent="0.25">
      <c r="A480">
        <v>237</v>
      </c>
      <c r="B480">
        <v>155</v>
      </c>
      <c r="C480" t="s">
        <v>1143</v>
      </c>
      <c r="D480" t="s">
        <v>179</v>
      </c>
      <c r="E480" t="s">
        <v>80</v>
      </c>
      <c r="F480" t="s">
        <v>1144</v>
      </c>
      <c r="G480" t="str">
        <f>"201402005659"</f>
        <v>201402005659</v>
      </c>
      <c r="H480" t="s">
        <v>497</v>
      </c>
      <c r="I480">
        <v>0</v>
      </c>
      <c r="J480">
        <v>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0</v>
      </c>
      <c r="AB480" t="s">
        <v>1145</v>
      </c>
    </row>
    <row r="481" spans="1:28" x14ac:dyDescent="0.25">
      <c r="H481" t="s">
        <v>1146</v>
      </c>
    </row>
    <row r="482" spans="1:28" x14ac:dyDescent="0.25">
      <c r="A482">
        <v>238</v>
      </c>
      <c r="B482">
        <v>893</v>
      </c>
      <c r="C482" t="s">
        <v>1147</v>
      </c>
      <c r="D482" t="s">
        <v>1148</v>
      </c>
      <c r="E482" t="s">
        <v>51</v>
      </c>
      <c r="F482" t="s">
        <v>1149</v>
      </c>
      <c r="G482" t="str">
        <f>"201304003153"</f>
        <v>201304003153</v>
      </c>
      <c r="H482" t="s">
        <v>341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30</v>
      </c>
      <c r="O482">
        <v>0</v>
      </c>
      <c r="P482">
        <v>0</v>
      </c>
      <c r="Q482">
        <v>30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1</v>
      </c>
      <c r="Y482">
        <v>0</v>
      </c>
      <c r="Z482">
        <v>0</v>
      </c>
      <c r="AA482">
        <v>0</v>
      </c>
      <c r="AB482" t="s">
        <v>1150</v>
      </c>
    </row>
    <row r="483" spans="1:28" x14ac:dyDescent="0.25">
      <c r="H483" t="s">
        <v>1151</v>
      </c>
    </row>
    <row r="484" spans="1:28" x14ac:dyDescent="0.25">
      <c r="A484">
        <v>239</v>
      </c>
      <c r="B484">
        <v>731</v>
      </c>
      <c r="C484" t="s">
        <v>1152</v>
      </c>
      <c r="D484" t="s">
        <v>1153</v>
      </c>
      <c r="E484" t="s">
        <v>1154</v>
      </c>
      <c r="F484" t="s">
        <v>1155</v>
      </c>
      <c r="G484" t="str">
        <f>"00131192"</f>
        <v>00131192</v>
      </c>
      <c r="H484" t="s">
        <v>125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24</v>
      </c>
      <c r="AA484">
        <v>408</v>
      </c>
      <c r="AB484" t="s">
        <v>1156</v>
      </c>
    </row>
    <row r="485" spans="1:28" x14ac:dyDescent="0.25">
      <c r="H485" t="s">
        <v>1157</v>
      </c>
    </row>
    <row r="486" spans="1:28" x14ac:dyDescent="0.25">
      <c r="A486">
        <v>240</v>
      </c>
      <c r="B486">
        <v>584</v>
      </c>
      <c r="C486" t="s">
        <v>1158</v>
      </c>
      <c r="D486" t="s">
        <v>104</v>
      </c>
      <c r="E486" t="s">
        <v>1159</v>
      </c>
      <c r="F486" t="s">
        <v>1160</v>
      </c>
      <c r="G486" t="str">
        <f>"201412006864"</f>
        <v>201412006864</v>
      </c>
      <c r="H486" t="s">
        <v>1161</v>
      </c>
      <c r="I486">
        <v>150</v>
      </c>
      <c r="J486">
        <v>0</v>
      </c>
      <c r="K486">
        <v>0</v>
      </c>
      <c r="L486">
        <v>200</v>
      </c>
      <c r="M486">
        <v>0</v>
      </c>
      <c r="N486">
        <v>70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>
        <v>0</v>
      </c>
      <c r="AB486" t="s">
        <v>1162</v>
      </c>
    </row>
    <row r="487" spans="1:28" x14ac:dyDescent="0.25">
      <c r="H487" t="s">
        <v>1163</v>
      </c>
    </row>
    <row r="488" spans="1:28" x14ac:dyDescent="0.25">
      <c r="A488">
        <v>241</v>
      </c>
      <c r="B488">
        <v>992</v>
      </c>
      <c r="C488" t="s">
        <v>1164</v>
      </c>
      <c r="D488" t="s">
        <v>179</v>
      </c>
      <c r="E488" t="s">
        <v>117</v>
      </c>
      <c r="F488" t="s">
        <v>1165</v>
      </c>
      <c r="G488" t="str">
        <f>"201402010179"</f>
        <v>201402010179</v>
      </c>
      <c r="H488" t="s">
        <v>881</v>
      </c>
      <c r="I488">
        <v>0</v>
      </c>
      <c r="J488">
        <v>0</v>
      </c>
      <c r="K488">
        <v>0</v>
      </c>
      <c r="L488">
        <v>200</v>
      </c>
      <c r="M488">
        <v>0</v>
      </c>
      <c r="N488">
        <v>70</v>
      </c>
      <c r="O488">
        <v>30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>
        <v>0</v>
      </c>
      <c r="AB488" t="s">
        <v>1166</v>
      </c>
    </row>
    <row r="489" spans="1:28" x14ac:dyDescent="0.25">
      <c r="H489" t="s">
        <v>1167</v>
      </c>
    </row>
    <row r="490" spans="1:28" x14ac:dyDescent="0.25">
      <c r="A490">
        <v>242</v>
      </c>
      <c r="B490">
        <v>4871</v>
      </c>
      <c r="C490" t="s">
        <v>1044</v>
      </c>
      <c r="D490" t="s">
        <v>26</v>
      </c>
      <c r="E490" t="s">
        <v>15</v>
      </c>
      <c r="F490" t="s">
        <v>1168</v>
      </c>
      <c r="G490" t="str">
        <f>"00298089"</f>
        <v>00298089</v>
      </c>
      <c r="H490" t="s">
        <v>771</v>
      </c>
      <c r="I490">
        <v>0</v>
      </c>
      <c r="J490">
        <v>0</v>
      </c>
      <c r="K490">
        <v>0</v>
      </c>
      <c r="L490">
        <v>200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1</v>
      </c>
      <c r="Y490">
        <v>0</v>
      </c>
      <c r="Z490">
        <v>0</v>
      </c>
      <c r="AA490">
        <v>0</v>
      </c>
      <c r="AB490" t="s">
        <v>1169</v>
      </c>
    </row>
    <row r="491" spans="1:28" x14ac:dyDescent="0.25">
      <c r="H491" t="s">
        <v>1048</v>
      </c>
    </row>
    <row r="492" spans="1:28" x14ac:dyDescent="0.25">
      <c r="A492">
        <v>243</v>
      </c>
      <c r="B492">
        <v>4178</v>
      </c>
      <c r="C492" t="s">
        <v>1170</v>
      </c>
      <c r="D492" t="s">
        <v>366</v>
      </c>
      <c r="E492" t="s">
        <v>20</v>
      </c>
      <c r="F492" t="s">
        <v>1171</v>
      </c>
      <c r="G492" t="str">
        <f>"201406009459"</f>
        <v>201406009459</v>
      </c>
      <c r="H492" t="s">
        <v>273</v>
      </c>
      <c r="I492">
        <v>0</v>
      </c>
      <c r="J492">
        <v>0</v>
      </c>
      <c r="K492">
        <v>0</v>
      </c>
      <c r="L492">
        <v>200</v>
      </c>
      <c r="M492">
        <v>0</v>
      </c>
      <c r="N492">
        <v>70</v>
      </c>
      <c r="O492">
        <v>70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>
        <v>0</v>
      </c>
      <c r="AB492" t="s">
        <v>1172</v>
      </c>
    </row>
    <row r="493" spans="1:28" x14ac:dyDescent="0.25">
      <c r="H493" t="s">
        <v>432</v>
      </c>
    </row>
    <row r="494" spans="1:28" x14ac:dyDescent="0.25">
      <c r="A494">
        <v>244</v>
      </c>
      <c r="B494">
        <v>1817</v>
      </c>
      <c r="C494" t="s">
        <v>1173</v>
      </c>
      <c r="D494" t="s">
        <v>155</v>
      </c>
      <c r="E494" t="s">
        <v>38</v>
      </c>
      <c r="F494" t="s">
        <v>1174</v>
      </c>
      <c r="G494" t="str">
        <f>"200712001655"</f>
        <v>200712001655</v>
      </c>
      <c r="H494">
        <v>781</v>
      </c>
      <c r="I494">
        <v>0</v>
      </c>
      <c r="J494">
        <v>0</v>
      </c>
      <c r="K494">
        <v>0</v>
      </c>
      <c r="L494">
        <v>200</v>
      </c>
      <c r="M494">
        <v>0</v>
      </c>
      <c r="N494">
        <v>70</v>
      </c>
      <c r="O494">
        <v>0</v>
      </c>
      <c r="P494">
        <v>0</v>
      </c>
      <c r="Q494">
        <v>70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>
        <v>0</v>
      </c>
      <c r="AB494">
        <v>1121</v>
      </c>
    </row>
    <row r="495" spans="1:28" x14ac:dyDescent="0.25">
      <c r="H495" t="s">
        <v>1175</v>
      </c>
    </row>
    <row r="496" spans="1:28" x14ac:dyDescent="0.25">
      <c r="A496">
        <v>245</v>
      </c>
      <c r="B496">
        <v>3632</v>
      </c>
      <c r="C496" t="s">
        <v>1176</v>
      </c>
      <c r="D496" t="s">
        <v>271</v>
      </c>
      <c r="E496" t="s">
        <v>44</v>
      </c>
      <c r="F496" t="s">
        <v>1177</v>
      </c>
      <c r="G496" t="str">
        <f>"00368356"</f>
        <v>00368356</v>
      </c>
      <c r="H496">
        <v>880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>
        <v>0</v>
      </c>
      <c r="Z496">
        <v>10</v>
      </c>
      <c r="AA496">
        <v>170</v>
      </c>
      <c r="AB496">
        <v>1120</v>
      </c>
    </row>
    <row r="497" spans="1:28" x14ac:dyDescent="0.25">
      <c r="H497" t="s">
        <v>1178</v>
      </c>
    </row>
    <row r="498" spans="1:28" x14ac:dyDescent="0.25">
      <c r="A498">
        <v>246</v>
      </c>
      <c r="B498">
        <v>3433</v>
      </c>
      <c r="C498" t="s">
        <v>1179</v>
      </c>
      <c r="D498" t="s">
        <v>19</v>
      </c>
      <c r="E498" t="s">
        <v>1180</v>
      </c>
      <c r="F498" t="s">
        <v>1181</v>
      </c>
      <c r="G498" t="str">
        <f>"201511033054"</f>
        <v>201511033054</v>
      </c>
      <c r="H498" t="s">
        <v>1182</v>
      </c>
      <c r="I498">
        <v>0</v>
      </c>
      <c r="J498">
        <v>0</v>
      </c>
      <c r="K498">
        <v>0</v>
      </c>
      <c r="L498">
        <v>0</v>
      </c>
      <c r="M498">
        <v>100</v>
      </c>
      <c r="N498">
        <v>70</v>
      </c>
      <c r="O498">
        <v>0</v>
      </c>
      <c r="P498">
        <v>0</v>
      </c>
      <c r="Q498">
        <v>30</v>
      </c>
      <c r="R498">
        <v>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0</v>
      </c>
      <c r="AB498" t="s">
        <v>1183</v>
      </c>
    </row>
    <row r="499" spans="1:28" x14ac:dyDescent="0.25">
      <c r="H499" t="s">
        <v>432</v>
      </c>
    </row>
    <row r="500" spans="1:28" x14ac:dyDescent="0.25">
      <c r="A500">
        <v>247</v>
      </c>
      <c r="B500">
        <v>1984</v>
      </c>
      <c r="C500" t="s">
        <v>1184</v>
      </c>
      <c r="D500" t="s">
        <v>265</v>
      </c>
      <c r="E500" t="s">
        <v>14</v>
      </c>
      <c r="F500" t="s">
        <v>1185</v>
      </c>
      <c r="G500" t="str">
        <f>"201303001067"</f>
        <v>201303001067</v>
      </c>
      <c r="H500" t="s">
        <v>1186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30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>
        <v>0</v>
      </c>
      <c r="AB500" t="s">
        <v>1187</v>
      </c>
    </row>
    <row r="501" spans="1:28" x14ac:dyDescent="0.25">
      <c r="H501">
        <v>1009</v>
      </c>
    </row>
    <row r="502" spans="1:28" x14ac:dyDescent="0.25">
      <c r="A502">
        <v>248</v>
      </c>
      <c r="B502">
        <v>4729</v>
      </c>
      <c r="C502" t="s">
        <v>1188</v>
      </c>
      <c r="D502" t="s">
        <v>187</v>
      </c>
      <c r="E502" t="s">
        <v>80</v>
      </c>
      <c r="F502" t="s">
        <v>1189</v>
      </c>
      <c r="G502" t="str">
        <f>"201304003308"</f>
        <v>201304003308</v>
      </c>
      <c r="H502" t="s">
        <v>175</v>
      </c>
      <c r="I502">
        <v>0</v>
      </c>
      <c r="J502">
        <v>0</v>
      </c>
      <c r="K502">
        <v>0</v>
      </c>
      <c r="L502">
        <v>200</v>
      </c>
      <c r="M502">
        <v>0</v>
      </c>
      <c r="N502">
        <v>70</v>
      </c>
      <c r="O502">
        <v>70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>
        <v>0</v>
      </c>
      <c r="AB502" t="s">
        <v>1190</v>
      </c>
    </row>
    <row r="503" spans="1:28" x14ac:dyDescent="0.25">
      <c r="H503" t="s">
        <v>1191</v>
      </c>
    </row>
    <row r="504" spans="1:28" x14ac:dyDescent="0.25">
      <c r="A504">
        <v>249</v>
      </c>
      <c r="B504">
        <v>2535</v>
      </c>
      <c r="C504" t="s">
        <v>1192</v>
      </c>
      <c r="D504" t="s">
        <v>393</v>
      </c>
      <c r="E504" t="s">
        <v>1193</v>
      </c>
      <c r="F504" t="s">
        <v>1194</v>
      </c>
      <c r="G504" t="str">
        <f>"00010945"</f>
        <v>00010945</v>
      </c>
      <c r="H504">
        <v>847</v>
      </c>
      <c r="I504">
        <v>0</v>
      </c>
      <c r="J504">
        <v>0</v>
      </c>
      <c r="K504">
        <v>0</v>
      </c>
      <c r="L504">
        <v>200</v>
      </c>
      <c r="M504">
        <v>0</v>
      </c>
      <c r="N504">
        <v>70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>
        <v>0</v>
      </c>
      <c r="AB504">
        <v>1117</v>
      </c>
    </row>
    <row r="505" spans="1:28" x14ac:dyDescent="0.25">
      <c r="H505" t="s">
        <v>1195</v>
      </c>
    </row>
    <row r="506" spans="1:28" x14ac:dyDescent="0.25">
      <c r="A506">
        <v>250</v>
      </c>
      <c r="B506">
        <v>3146</v>
      </c>
      <c r="C506" t="s">
        <v>1196</v>
      </c>
      <c r="D506" t="s">
        <v>1197</v>
      </c>
      <c r="E506" t="s">
        <v>930</v>
      </c>
      <c r="F506" t="s">
        <v>1198</v>
      </c>
      <c r="G506" t="str">
        <f>"201406000197"</f>
        <v>201406000197</v>
      </c>
      <c r="H506">
        <v>737</v>
      </c>
      <c r="I506">
        <v>0</v>
      </c>
      <c r="J506">
        <v>0</v>
      </c>
      <c r="K506">
        <v>0</v>
      </c>
      <c r="L506">
        <v>200</v>
      </c>
      <c r="M506">
        <v>0</v>
      </c>
      <c r="N506">
        <v>70</v>
      </c>
      <c r="O506">
        <v>0</v>
      </c>
      <c r="P506">
        <v>50</v>
      </c>
      <c r="Q506">
        <v>30</v>
      </c>
      <c r="R506">
        <v>0</v>
      </c>
      <c r="S506">
        <v>30</v>
      </c>
      <c r="T506">
        <v>0</v>
      </c>
      <c r="U506">
        <v>0</v>
      </c>
      <c r="V506">
        <v>0</v>
      </c>
      <c r="X506">
        <v>0</v>
      </c>
      <c r="Y506">
        <v>0</v>
      </c>
      <c r="Z506">
        <v>0</v>
      </c>
      <c r="AA506">
        <v>0</v>
      </c>
      <c r="AB506">
        <v>1117</v>
      </c>
    </row>
    <row r="507" spans="1:28" x14ac:dyDescent="0.25">
      <c r="H507" t="s">
        <v>1199</v>
      </c>
    </row>
    <row r="508" spans="1:28" x14ac:dyDescent="0.25">
      <c r="A508">
        <v>251</v>
      </c>
      <c r="B508">
        <v>1851</v>
      </c>
      <c r="C508" t="s">
        <v>1200</v>
      </c>
      <c r="D508" t="s">
        <v>19</v>
      </c>
      <c r="E508" t="s">
        <v>14</v>
      </c>
      <c r="F508" t="s">
        <v>1201</v>
      </c>
      <c r="G508" t="str">
        <f>"201406007961"</f>
        <v>201406007961</v>
      </c>
      <c r="H508" t="s">
        <v>1202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24</v>
      </c>
      <c r="AA508">
        <v>408</v>
      </c>
      <c r="AB508" t="s">
        <v>1203</v>
      </c>
    </row>
    <row r="509" spans="1:28" x14ac:dyDescent="0.25">
      <c r="H509" t="s">
        <v>1204</v>
      </c>
    </row>
    <row r="510" spans="1:28" x14ac:dyDescent="0.25">
      <c r="A510">
        <v>252</v>
      </c>
      <c r="B510">
        <v>3885</v>
      </c>
      <c r="C510" t="s">
        <v>1205</v>
      </c>
      <c r="D510" t="s">
        <v>138</v>
      </c>
      <c r="E510" t="s">
        <v>80</v>
      </c>
      <c r="F510" t="s">
        <v>1206</v>
      </c>
      <c r="G510" t="str">
        <f>"201304006474"</f>
        <v>201304006474</v>
      </c>
      <c r="H510">
        <v>836</v>
      </c>
      <c r="I510">
        <v>0</v>
      </c>
      <c r="J510">
        <v>0</v>
      </c>
      <c r="K510">
        <v>0</v>
      </c>
      <c r="L510">
        <v>200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30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>
        <v>0</v>
      </c>
      <c r="AB510">
        <v>1116</v>
      </c>
    </row>
    <row r="511" spans="1:28" x14ac:dyDescent="0.25">
      <c r="H511" t="s">
        <v>605</v>
      </c>
    </row>
    <row r="512" spans="1:28" x14ac:dyDescent="0.25">
      <c r="A512">
        <v>253</v>
      </c>
      <c r="B512">
        <v>3200</v>
      </c>
      <c r="C512" t="s">
        <v>1207</v>
      </c>
      <c r="D512" t="s">
        <v>50</v>
      </c>
      <c r="E512" t="s">
        <v>44</v>
      </c>
      <c r="F512" t="s">
        <v>1208</v>
      </c>
      <c r="G512" t="str">
        <f>"201304002780"</f>
        <v>201304002780</v>
      </c>
      <c r="H512" t="s">
        <v>583</v>
      </c>
      <c r="I512">
        <v>0</v>
      </c>
      <c r="J512">
        <v>0</v>
      </c>
      <c r="K512">
        <v>0</v>
      </c>
      <c r="L512">
        <v>260</v>
      </c>
      <c r="M512">
        <v>0</v>
      </c>
      <c r="N512">
        <v>70</v>
      </c>
      <c r="O512">
        <v>0</v>
      </c>
      <c r="P512">
        <v>0</v>
      </c>
      <c r="Q512">
        <v>30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0</v>
      </c>
      <c r="AA512">
        <v>0</v>
      </c>
      <c r="AB512" t="s">
        <v>1209</v>
      </c>
    </row>
    <row r="513" spans="1:28" x14ac:dyDescent="0.25">
      <c r="H513" t="s">
        <v>1210</v>
      </c>
    </row>
    <row r="514" spans="1:28" x14ac:dyDescent="0.25">
      <c r="A514">
        <v>254</v>
      </c>
      <c r="B514">
        <v>2481</v>
      </c>
      <c r="C514" t="s">
        <v>1211</v>
      </c>
      <c r="D514" t="s">
        <v>955</v>
      </c>
      <c r="E514" t="s">
        <v>14</v>
      </c>
      <c r="F514" t="s">
        <v>1212</v>
      </c>
      <c r="G514" t="str">
        <f>"201506001264"</f>
        <v>201506001264</v>
      </c>
      <c r="H514" t="s">
        <v>1213</v>
      </c>
      <c r="I514">
        <v>0</v>
      </c>
      <c r="J514">
        <v>0</v>
      </c>
      <c r="K514">
        <v>0</v>
      </c>
      <c r="L514">
        <v>200</v>
      </c>
      <c r="M514">
        <v>0</v>
      </c>
      <c r="N514">
        <v>70</v>
      </c>
      <c r="O514">
        <v>0</v>
      </c>
      <c r="P514">
        <v>70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>
        <v>0</v>
      </c>
      <c r="AB514" t="s">
        <v>1214</v>
      </c>
    </row>
    <row r="515" spans="1:28" x14ac:dyDescent="0.25">
      <c r="H515">
        <v>1009</v>
      </c>
    </row>
    <row r="516" spans="1:28" x14ac:dyDescent="0.25">
      <c r="A516">
        <v>255</v>
      </c>
      <c r="B516">
        <v>4569</v>
      </c>
      <c r="C516" t="s">
        <v>1215</v>
      </c>
      <c r="D516" t="s">
        <v>80</v>
      </c>
      <c r="E516" t="s">
        <v>98</v>
      </c>
      <c r="F516" t="s">
        <v>1216</v>
      </c>
      <c r="G516" t="str">
        <f>"00342225"</f>
        <v>00342225</v>
      </c>
      <c r="H516">
        <v>935</v>
      </c>
      <c r="I516">
        <v>0</v>
      </c>
      <c r="J516">
        <v>0</v>
      </c>
      <c r="K516">
        <v>0</v>
      </c>
      <c r="L516">
        <v>0</v>
      </c>
      <c r="M516">
        <v>100</v>
      </c>
      <c r="N516">
        <v>30</v>
      </c>
      <c r="O516">
        <v>50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>
        <v>0</v>
      </c>
      <c r="AB516">
        <v>1115</v>
      </c>
    </row>
    <row r="517" spans="1:28" x14ac:dyDescent="0.25">
      <c r="H517">
        <v>1009</v>
      </c>
    </row>
    <row r="518" spans="1:28" x14ac:dyDescent="0.25">
      <c r="A518">
        <v>256</v>
      </c>
      <c r="B518">
        <v>124</v>
      </c>
      <c r="C518" t="s">
        <v>1217</v>
      </c>
      <c r="D518" t="s">
        <v>155</v>
      </c>
      <c r="E518" t="s">
        <v>154</v>
      </c>
      <c r="F518" t="s">
        <v>1218</v>
      </c>
      <c r="G518" t="str">
        <f>"201604003037"</f>
        <v>201604003037</v>
      </c>
      <c r="H518" t="s">
        <v>1219</v>
      </c>
      <c r="I518">
        <v>0</v>
      </c>
      <c r="J518">
        <v>0</v>
      </c>
      <c r="K518">
        <v>0</v>
      </c>
      <c r="L518">
        <v>200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>
        <v>0</v>
      </c>
      <c r="AB518" t="s">
        <v>1220</v>
      </c>
    </row>
    <row r="519" spans="1:28" x14ac:dyDescent="0.25">
      <c r="H519" t="s">
        <v>1221</v>
      </c>
    </row>
    <row r="520" spans="1:28" x14ac:dyDescent="0.25">
      <c r="A520">
        <v>257</v>
      </c>
      <c r="B520">
        <v>5144</v>
      </c>
      <c r="C520" t="s">
        <v>1222</v>
      </c>
      <c r="D520" t="s">
        <v>566</v>
      </c>
      <c r="E520" t="s">
        <v>154</v>
      </c>
      <c r="F520" t="s">
        <v>1223</v>
      </c>
      <c r="G520" t="str">
        <f>"201412006196"</f>
        <v>201412006196</v>
      </c>
      <c r="H520" t="s">
        <v>1224</v>
      </c>
      <c r="I520">
        <v>0</v>
      </c>
      <c r="J520">
        <v>0</v>
      </c>
      <c r="K520">
        <v>0</v>
      </c>
      <c r="L520">
        <v>200</v>
      </c>
      <c r="M520">
        <v>0</v>
      </c>
      <c r="N520">
        <v>70</v>
      </c>
      <c r="O520">
        <v>0</v>
      </c>
      <c r="P520">
        <v>50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>
        <v>0</v>
      </c>
      <c r="Z520">
        <v>0</v>
      </c>
      <c r="AA520">
        <v>0</v>
      </c>
      <c r="AB520" t="s">
        <v>1225</v>
      </c>
    </row>
    <row r="521" spans="1:28" x14ac:dyDescent="0.25">
      <c r="H521" t="s">
        <v>1226</v>
      </c>
    </row>
    <row r="522" spans="1:28" x14ac:dyDescent="0.25">
      <c r="A522">
        <v>258</v>
      </c>
      <c r="B522">
        <v>4100</v>
      </c>
      <c r="C522" t="s">
        <v>1227</v>
      </c>
      <c r="D522" t="s">
        <v>155</v>
      </c>
      <c r="E522" t="s">
        <v>1025</v>
      </c>
      <c r="F522" t="s">
        <v>1228</v>
      </c>
      <c r="G522" t="str">
        <f>"201304002442"</f>
        <v>201304002442</v>
      </c>
      <c r="H522" t="s">
        <v>1229</v>
      </c>
      <c r="I522">
        <v>0</v>
      </c>
      <c r="J522">
        <v>0</v>
      </c>
      <c r="K522">
        <v>0</v>
      </c>
      <c r="L522">
        <v>260</v>
      </c>
      <c r="M522">
        <v>0</v>
      </c>
      <c r="N522">
        <v>70</v>
      </c>
      <c r="O522">
        <v>30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>
        <v>0</v>
      </c>
      <c r="Z522">
        <v>0</v>
      </c>
      <c r="AA522">
        <v>0</v>
      </c>
      <c r="AB522" t="s">
        <v>1230</v>
      </c>
    </row>
    <row r="523" spans="1:28" x14ac:dyDescent="0.25">
      <c r="H523" t="s">
        <v>142</v>
      </c>
    </row>
    <row r="524" spans="1:28" x14ac:dyDescent="0.25">
      <c r="A524">
        <v>259</v>
      </c>
      <c r="B524">
        <v>842</v>
      </c>
      <c r="C524" t="s">
        <v>1231</v>
      </c>
      <c r="D524" t="s">
        <v>357</v>
      </c>
      <c r="E524" t="s">
        <v>80</v>
      </c>
      <c r="F524" t="s">
        <v>1232</v>
      </c>
      <c r="G524" t="str">
        <f>"201506000764"</f>
        <v>201506000764</v>
      </c>
      <c r="H524" t="s">
        <v>34</v>
      </c>
      <c r="I524">
        <v>0</v>
      </c>
      <c r="J524">
        <v>0</v>
      </c>
      <c r="K524">
        <v>0</v>
      </c>
      <c r="L524">
        <v>200</v>
      </c>
      <c r="M524">
        <v>0</v>
      </c>
      <c r="N524">
        <v>70</v>
      </c>
      <c r="O524">
        <v>0</v>
      </c>
      <c r="P524">
        <v>50</v>
      </c>
      <c r="Q524">
        <v>0</v>
      </c>
      <c r="R524">
        <v>30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0</v>
      </c>
      <c r="AB524" t="s">
        <v>1233</v>
      </c>
    </row>
    <row r="525" spans="1:28" x14ac:dyDescent="0.25">
      <c r="H525" t="s">
        <v>1234</v>
      </c>
    </row>
    <row r="526" spans="1:28" x14ac:dyDescent="0.25">
      <c r="A526">
        <v>260</v>
      </c>
      <c r="B526">
        <v>5047</v>
      </c>
      <c r="C526" t="s">
        <v>1235</v>
      </c>
      <c r="D526" t="s">
        <v>350</v>
      </c>
      <c r="E526" t="s">
        <v>51</v>
      </c>
      <c r="F526" t="s">
        <v>1236</v>
      </c>
      <c r="G526" t="str">
        <f>"201410009899"</f>
        <v>201410009899</v>
      </c>
      <c r="H526" t="s">
        <v>912</v>
      </c>
      <c r="I526">
        <v>0</v>
      </c>
      <c r="J526">
        <v>0</v>
      </c>
      <c r="K526">
        <v>0</v>
      </c>
      <c r="L526">
        <v>200</v>
      </c>
      <c r="M526">
        <v>0</v>
      </c>
      <c r="N526">
        <v>70</v>
      </c>
      <c r="O526">
        <v>30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1</v>
      </c>
      <c r="Y526">
        <v>0</v>
      </c>
      <c r="Z526">
        <v>0</v>
      </c>
      <c r="AA526">
        <v>0</v>
      </c>
      <c r="AB526" t="s">
        <v>1237</v>
      </c>
    </row>
    <row r="527" spans="1:28" x14ac:dyDescent="0.25">
      <c r="H527" t="s">
        <v>1238</v>
      </c>
    </row>
    <row r="528" spans="1:28" x14ac:dyDescent="0.25">
      <c r="A528">
        <v>261</v>
      </c>
      <c r="B528">
        <v>2407</v>
      </c>
      <c r="C528" t="s">
        <v>1239</v>
      </c>
      <c r="D528" t="s">
        <v>1240</v>
      </c>
      <c r="E528" t="s">
        <v>44</v>
      </c>
      <c r="F528" t="s">
        <v>1241</v>
      </c>
      <c r="G528" t="str">
        <f>"201304002143"</f>
        <v>201304002143</v>
      </c>
      <c r="H528" t="s">
        <v>1242</v>
      </c>
      <c r="I528">
        <v>0</v>
      </c>
      <c r="J528">
        <v>0</v>
      </c>
      <c r="K528">
        <v>0</v>
      </c>
      <c r="L528">
        <v>200</v>
      </c>
      <c r="M528">
        <v>0</v>
      </c>
      <c r="N528">
        <v>70</v>
      </c>
      <c r="O528">
        <v>50</v>
      </c>
      <c r="P528">
        <v>30</v>
      </c>
      <c r="Q528">
        <v>0</v>
      </c>
      <c r="R528">
        <v>30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0</v>
      </c>
      <c r="AB528" t="s">
        <v>1243</v>
      </c>
    </row>
    <row r="529" spans="1:28" x14ac:dyDescent="0.25">
      <c r="H529" t="s">
        <v>1244</v>
      </c>
    </row>
    <row r="530" spans="1:28" x14ac:dyDescent="0.25">
      <c r="A530">
        <v>262</v>
      </c>
      <c r="B530">
        <v>2781</v>
      </c>
      <c r="C530" t="s">
        <v>1245</v>
      </c>
      <c r="D530" t="s">
        <v>20</v>
      </c>
      <c r="E530" t="s">
        <v>1036</v>
      </c>
      <c r="F530" t="s">
        <v>1246</v>
      </c>
      <c r="G530" t="str">
        <f>"00369315"</f>
        <v>00369315</v>
      </c>
      <c r="H530">
        <v>891</v>
      </c>
      <c r="I530">
        <v>0</v>
      </c>
      <c r="J530">
        <v>0</v>
      </c>
      <c r="K530">
        <v>0</v>
      </c>
      <c r="L530">
        <v>0</v>
      </c>
      <c r="M530">
        <v>100</v>
      </c>
      <c r="N530">
        <v>70</v>
      </c>
      <c r="O530">
        <v>50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0</v>
      </c>
      <c r="Z530">
        <v>0</v>
      </c>
      <c r="AA530">
        <v>0</v>
      </c>
      <c r="AB530">
        <v>1111</v>
      </c>
    </row>
    <row r="531" spans="1:28" x14ac:dyDescent="0.25">
      <c r="H531" t="s">
        <v>1013</v>
      </c>
    </row>
    <row r="532" spans="1:28" x14ac:dyDescent="0.25">
      <c r="A532">
        <v>263</v>
      </c>
      <c r="B532">
        <v>1551</v>
      </c>
      <c r="C532" t="s">
        <v>1247</v>
      </c>
      <c r="D532" t="s">
        <v>757</v>
      </c>
      <c r="E532" t="s">
        <v>155</v>
      </c>
      <c r="F532" t="s">
        <v>1248</v>
      </c>
      <c r="G532" t="str">
        <f>"00320095"</f>
        <v>00320095</v>
      </c>
      <c r="H532" t="s">
        <v>1249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30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24</v>
      </c>
      <c r="AA532">
        <v>408</v>
      </c>
      <c r="AB532" t="s">
        <v>1250</v>
      </c>
    </row>
    <row r="533" spans="1:28" x14ac:dyDescent="0.25">
      <c r="H533" t="s">
        <v>1251</v>
      </c>
    </row>
    <row r="534" spans="1:28" x14ac:dyDescent="0.25">
      <c r="A534">
        <v>264</v>
      </c>
      <c r="B534">
        <v>4703</v>
      </c>
      <c r="C534" t="s">
        <v>1252</v>
      </c>
      <c r="D534" t="s">
        <v>134</v>
      </c>
      <c r="E534" t="s">
        <v>155</v>
      </c>
      <c r="F534" t="s">
        <v>1253</v>
      </c>
      <c r="G534" t="str">
        <f>"00012796"</f>
        <v>00012796</v>
      </c>
      <c r="H534" t="s">
        <v>1254</v>
      </c>
      <c r="I534">
        <v>0</v>
      </c>
      <c r="J534">
        <v>0</v>
      </c>
      <c r="K534">
        <v>0</v>
      </c>
      <c r="L534">
        <v>0</v>
      </c>
      <c r="M534">
        <v>100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0</v>
      </c>
      <c r="Z534">
        <v>0</v>
      </c>
      <c r="AA534">
        <v>0</v>
      </c>
      <c r="AB534" t="s">
        <v>1255</v>
      </c>
    </row>
    <row r="535" spans="1:28" x14ac:dyDescent="0.25">
      <c r="H535" t="s">
        <v>739</v>
      </c>
    </row>
    <row r="536" spans="1:28" x14ac:dyDescent="0.25">
      <c r="A536">
        <v>265</v>
      </c>
      <c r="B536">
        <v>5350</v>
      </c>
      <c r="C536" t="s">
        <v>1256</v>
      </c>
      <c r="D536" t="s">
        <v>1257</v>
      </c>
      <c r="E536" t="s">
        <v>50</v>
      </c>
      <c r="F536" t="s">
        <v>1258</v>
      </c>
      <c r="G536" t="str">
        <f>"00015167"</f>
        <v>00015167</v>
      </c>
      <c r="H536">
        <v>880</v>
      </c>
      <c r="I536">
        <v>0</v>
      </c>
      <c r="J536">
        <v>0</v>
      </c>
      <c r="K536">
        <v>0</v>
      </c>
      <c r="L536">
        <v>200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>
        <v>0</v>
      </c>
      <c r="AB536">
        <v>1110</v>
      </c>
    </row>
    <row r="537" spans="1:28" x14ac:dyDescent="0.25">
      <c r="H537" t="s">
        <v>1259</v>
      </c>
    </row>
    <row r="538" spans="1:28" x14ac:dyDescent="0.25">
      <c r="A538">
        <v>266</v>
      </c>
      <c r="B538">
        <v>798</v>
      </c>
      <c r="C538" t="s">
        <v>1260</v>
      </c>
      <c r="D538" t="s">
        <v>362</v>
      </c>
      <c r="E538" t="s">
        <v>38</v>
      </c>
      <c r="F538" t="s">
        <v>1261</v>
      </c>
      <c r="G538" t="str">
        <f>"201502003193"</f>
        <v>201502003193</v>
      </c>
      <c r="H538">
        <v>770</v>
      </c>
      <c r="I538">
        <v>0</v>
      </c>
      <c r="J538">
        <v>0</v>
      </c>
      <c r="K538">
        <v>0</v>
      </c>
      <c r="L538">
        <v>200</v>
      </c>
      <c r="M538">
        <v>0</v>
      </c>
      <c r="N538">
        <v>70</v>
      </c>
      <c r="O538">
        <v>0</v>
      </c>
      <c r="P538">
        <v>70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>
        <v>0</v>
      </c>
      <c r="AB538">
        <v>1110</v>
      </c>
    </row>
    <row r="539" spans="1:28" x14ac:dyDescent="0.25">
      <c r="H539" t="s">
        <v>102</v>
      </c>
    </row>
    <row r="540" spans="1:28" x14ac:dyDescent="0.25">
      <c r="A540">
        <v>267</v>
      </c>
      <c r="B540">
        <v>1017</v>
      </c>
      <c r="C540" t="s">
        <v>1262</v>
      </c>
      <c r="D540" t="s">
        <v>14</v>
      </c>
      <c r="E540" t="s">
        <v>80</v>
      </c>
      <c r="F540" t="s">
        <v>1263</v>
      </c>
      <c r="G540" t="str">
        <f>"00309544"</f>
        <v>00309544</v>
      </c>
      <c r="H540">
        <v>660</v>
      </c>
      <c r="I540">
        <v>150</v>
      </c>
      <c r="J540">
        <v>0</v>
      </c>
      <c r="K540">
        <v>0</v>
      </c>
      <c r="L540">
        <v>200</v>
      </c>
      <c r="M540">
        <v>30</v>
      </c>
      <c r="N540">
        <v>70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>
        <v>0</v>
      </c>
      <c r="AB540">
        <v>1110</v>
      </c>
    </row>
    <row r="541" spans="1:28" x14ac:dyDescent="0.25">
      <c r="H541" t="s">
        <v>1264</v>
      </c>
    </row>
    <row r="542" spans="1:28" x14ac:dyDescent="0.25">
      <c r="A542">
        <v>268</v>
      </c>
      <c r="B542">
        <v>686</v>
      </c>
      <c r="C542" t="s">
        <v>756</v>
      </c>
      <c r="D542" t="s">
        <v>303</v>
      </c>
      <c r="E542" t="s">
        <v>50</v>
      </c>
      <c r="F542" t="s">
        <v>1265</v>
      </c>
      <c r="G542" t="str">
        <f>"201304002556"</f>
        <v>201304002556</v>
      </c>
      <c r="H542" t="s">
        <v>460</v>
      </c>
      <c r="I542">
        <v>0</v>
      </c>
      <c r="J542">
        <v>0</v>
      </c>
      <c r="K542">
        <v>0</v>
      </c>
      <c r="L542">
        <v>200</v>
      </c>
      <c r="M542">
        <v>0</v>
      </c>
      <c r="N542">
        <v>70</v>
      </c>
      <c r="O542">
        <v>30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0</v>
      </c>
      <c r="AB542" t="s">
        <v>1266</v>
      </c>
    </row>
    <row r="543" spans="1:28" x14ac:dyDescent="0.25">
      <c r="H543" t="s">
        <v>1267</v>
      </c>
    </row>
    <row r="544" spans="1:28" x14ac:dyDescent="0.25">
      <c r="A544">
        <v>269</v>
      </c>
      <c r="B544">
        <v>2861</v>
      </c>
      <c r="C544" t="s">
        <v>1268</v>
      </c>
      <c r="D544" t="s">
        <v>97</v>
      </c>
      <c r="E544" t="s">
        <v>44</v>
      </c>
      <c r="F544" t="s">
        <v>1269</v>
      </c>
      <c r="G544" t="str">
        <f>"201406013297"</f>
        <v>201406013297</v>
      </c>
      <c r="H544" t="s">
        <v>742</v>
      </c>
      <c r="I544">
        <v>0</v>
      </c>
      <c r="J544">
        <v>0</v>
      </c>
      <c r="K544">
        <v>0</v>
      </c>
      <c r="L544">
        <v>200</v>
      </c>
      <c r="M544">
        <v>0</v>
      </c>
      <c r="N544">
        <v>70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0</v>
      </c>
      <c r="AB544" t="s">
        <v>1270</v>
      </c>
    </row>
    <row r="545" spans="1:28" x14ac:dyDescent="0.25">
      <c r="H545" t="s">
        <v>1271</v>
      </c>
    </row>
    <row r="546" spans="1:28" x14ac:dyDescent="0.25">
      <c r="A546">
        <v>270</v>
      </c>
      <c r="B546">
        <v>1147</v>
      </c>
      <c r="C546" t="s">
        <v>1272</v>
      </c>
      <c r="D546" t="s">
        <v>44</v>
      </c>
      <c r="E546" t="s">
        <v>20</v>
      </c>
      <c r="F546" t="s">
        <v>1273</v>
      </c>
      <c r="G546" t="str">
        <f>"201406014755"</f>
        <v>201406014755</v>
      </c>
      <c r="H546" t="s">
        <v>1051</v>
      </c>
      <c r="I546">
        <v>0</v>
      </c>
      <c r="J546">
        <v>0</v>
      </c>
      <c r="K546">
        <v>0</v>
      </c>
      <c r="L546">
        <v>200</v>
      </c>
      <c r="M546">
        <v>0</v>
      </c>
      <c r="N546">
        <v>70</v>
      </c>
      <c r="O546">
        <v>30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>
        <v>0</v>
      </c>
      <c r="Z546">
        <v>0</v>
      </c>
      <c r="AA546">
        <v>0</v>
      </c>
      <c r="AB546" t="s">
        <v>1274</v>
      </c>
    </row>
    <row r="547" spans="1:28" x14ac:dyDescent="0.25">
      <c r="H547" t="s">
        <v>739</v>
      </c>
    </row>
    <row r="548" spans="1:28" x14ac:dyDescent="0.25">
      <c r="A548">
        <v>271</v>
      </c>
      <c r="B548">
        <v>1297</v>
      </c>
      <c r="C548" t="s">
        <v>1275</v>
      </c>
      <c r="D548" t="s">
        <v>51</v>
      </c>
      <c r="E548" t="s">
        <v>405</v>
      </c>
      <c r="F548" t="s">
        <v>1276</v>
      </c>
      <c r="G548" t="str">
        <f>"201501000112"</f>
        <v>201501000112</v>
      </c>
      <c r="H548" t="s">
        <v>87</v>
      </c>
      <c r="I548">
        <v>0</v>
      </c>
      <c r="J548">
        <v>0</v>
      </c>
      <c r="K548">
        <v>0</v>
      </c>
      <c r="L548">
        <v>200</v>
      </c>
      <c r="M548">
        <v>0</v>
      </c>
      <c r="N548">
        <v>70</v>
      </c>
      <c r="O548">
        <v>30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>
        <v>0</v>
      </c>
      <c r="AB548" t="s">
        <v>1277</v>
      </c>
    </row>
    <row r="549" spans="1:28" x14ac:dyDescent="0.25">
      <c r="H549" t="s">
        <v>1278</v>
      </c>
    </row>
    <row r="550" spans="1:28" x14ac:dyDescent="0.25">
      <c r="A550">
        <v>272</v>
      </c>
      <c r="B550">
        <v>5358</v>
      </c>
      <c r="C550" t="s">
        <v>1279</v>
      </c>
      <c r="D550" t="s">
        <v>1280</v>
      </c>
      <c r="E550" t="s">
        <v>155</v>
      </c>
      <c r="F550" t="s">
        <v>1281</v>
      </c>
      <c r="G550" t="str">
        <f>"200802002816"</f>
        <v>200802002816</v>
      </c>
      <c r="H550" t="s">
        <v>1282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30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>
        <v>0</v>
      </c>
      <c r="AB550" t="s">
        <v>1283</v>
      </c>
    </row>
    <row r="551" spans="1:28" x14ac:dyDescent="0.25">
      <c r="H551" t="s">
        <v>1284</v>
      </c>
    </row>
    <row r="552" spans="1:28" x14ac:dyDescent="0.25">
      <c r="A552">
        <v>273</v>
      </c>
      <c r="B552">
        <v>1578</v>
      </c>
      <c r="C552" t="s">
        <v>1285</v>
      </c>
      <c r="D552" t="s">
        <v>51</v>
      </c>
      <c r="E552" t="s">
        <v>14</v>
      </c>
      <c r="F552" t="s">
        <v>1286</v>
      </c>
      <c r="G552" t="str">
        <f>"00253150"</f>
        <v>00253150</v>
      </c>
      <c r="H552" t="s">
        <v>425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1</v>
      </c>
      <c r="Y552">
        <v>0</v>
      </c>
      <c r="Z552">
        <v>6</v>
      </c>
      <c r="AA552">
        <v>102</v>
      </c>
      <c r="AB552" t="s">
        <v>1287</v>
      </c>
    </row>
    <row r="553" spans="1:28" x14ac:dyDescent="0.25">
      <c r="H553" t="s">
        <v>1288</v>
      </c>
    </row>
    <row r="554" spans="1:28" x14ac:dyDescent="0.25">
      <c r="A554">
        <v>274</v>
      </c>
      <c r="B554">
        <v>1467</v>
      </c>
      <c r="C554" t="s">
        <v>1289</v>
      </c>
      <c r="D554" t="s">
        <v>155</v>
      </c>
      <c r="E554" t="s">
        <v>80</v>
      </c>
      <c r="F554" t="s">
        <v>1290</v>
      </c>
      <c r="G554" t="str">
        <f>"00314215"</f>
        <v>00314215</v>
      </c>
      <c r="H554" t="s">
        <v>1291</v>
      </c>
      <c r="I554">
        <v>0</v>
      </c>
      <c r="J554">
        <v>0</v>
      </c>
      <c r="K554">
        <v>0</v>
      </c>
      <c r="L554">
        <v>200</v>
      </c>
      <c r="M554">
        <v>0</v>
      </c>
      <c r="N554">
        <v>70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>
        <v>0</v>
      </c>
      <c r="AB554" t="s">
        <v>1292</v>
      </c>
    </row>
    <row r="555" spans="1:28" x14ac:dyDescent="0.25">
      <c r="H555" t="s">
        <v>427</v>
      </c>
    </row>
    <row r="556" spans="1:28" x14ac:dyDescent="0.25">
      <c r="A556">
        <v>275</v>
      </c>
      <c r="B556">
        <v>414</v>
      </c>
      <c r="C556" t="s">
        <v>1293</v>
      </c>
      <c r="D556" t="s">
        <v>362</v>
      </c>
      <c r="E556" t="s">
        <v>405</v>
      </c>
      <c r="F556" t="s">
        <v>1294</v>
      </c>
      <c r="G556" t="str">
        <f>"201409000812"</f>
        <v>201409000812</v>
      </c>
      <c r="H556" t="s">
        <v>1295</v>
      </c>
      <c r="I556">
        <v>0</v>
      </c>
      <c r="J556">
        <v>0</v>
      </c>
      <c r="K556">
        <v>0</v>
      </c>
      <c r="L556">
        <v>0</v>
      </c>
      <c r="M556">
        <v>100</v>
      </c>
      <c r="N556">
        <v>70</v>
      </c>
      <c r="O556">
        <v>50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>
        <v>0</v>
      </c>
      <c r="Z556">
        <v>0</v>
      </c>
      <c r="AA556">
        <v>0</v>
      </c>
      <c r="AB556" t="s">
        <v>1296</v>
      </c>
    </row>
    <row r="557" spans="1:28" x14ac:dyDescent="0.25">
      <c r="H557">
        <v>1009</v>
      </c>
    </row>
    <row r="558" spans="1:28" x14ac:dyDescent="0.25">
      <c r="A558">
        <v>276</v>
      </c>
      <c r="B558">
        <v>4586</v>
      </c>
      <c r="C558" t="s">
        <v>1297</v>
      </c>
      <c r="D558" t="s">
        <v>15</v>
      </c>
      <c r="E558" t="s">
        <v>38</v>
      </c>
      <c r="F558" t="s">
        <v>1298</v>
      </c>
      <c r="G558" t="str">
        <f>"201304006365"</f>
        <v>201304006365</v>
      </c>
      <c r="H558" t="s">
        <v>771</v>
      </c>
      <c r="I558">
        <v>0</v>
      </c>
      <c r="J558">
        <v>0</v>
      </c>
      <c r="K558">
        <v>0</v>
      </c>
      <c r="L558">
        <v>200</v>
      </c>
      <c r="M558">
        <v>0</v>
      </c>
      <c r="N558">
        <v>50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>
        <v>0</v>
      </c>
      <c r="AB558" t="s">
        <v>1299</v>
      </c>
    </row>
    <row r="559" spans="1:28" x14ac:dyDescent="0.25">
      <c r="H559" t="s">
        <v>142</v>
      </c>
    </row>
    <row r="560" spans="1:28" x14ac:dyDescent="0.25">
      <c r="A560">
        <v>277</v>
      </c>
      <c r="B560">
        <v>3839</v>
      </c>
      <c r="C560" t="s">
        <v>1044</v>
      </c>
      <c r="D560" t="s">
        <v>179</v>
      </c>
      <c r="E560" t="s">
        <v>15</v>
      </c>
      <c r="F560" t="s">
        <v>1300</v>
      </c>
      <c r="G560" t="str">
        <f>"00298065"</f>
        <v>00298065</v>
      </c>
      <c r="H560" t="s">
        <v>1301</v>
      </c>
      <c r="I560">
        <v>0</v>
      </c>
      <c r="J560">
        <v>0</v>
      </c>
      <c r="K560">
        <v>0</v>
      </c>
      <c r="L560">
        <v>200</v>
      </c>
      <c r="M560">
        <v>0</v>
      </c>
      <c r="N560">
        <v>70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1</v>
      </c>
      <c r="Y560">
        <v>0</v>
      </c>
      <c r="Z560">
        <v>0</v>
      </c>
      <c r="AA560">
        <v>0</v>
      </c>
      <c r="AB560" t="s">
        <v>1302</v>
      </c>
    </row>
    <row r="561" spans="1:28" x14ac:dyDescent="0.25">
      <c r="H561" t="s">
        <v>1048</v>
      </c>
    </row>
    <row r="562" spans="1:28" x14ac:dyDescent="0.25">
      <c r="A562">
        <v>278</v>
      </c>
      <c r="B562">
        <v>27</v>
      </c>
      <c r="C562" t="s">
        <v>1303</v>
      </c>
      <c r="D562" t="s">
        <v>97</v>
      </c>
      <c r="E562" t="s">
        <v>20</v>
      </c>
      <c r="F562" t="s">
        <v>1304</v>
      </c>
      <c r="G562" t="str">
        <f>"201304004227"</f>
        <v>201304004227</v>
      </c>
      <c r="H562" t="s">
        <v>1305</v>
      </c>
      <c r="I562">
        <v>0</v>
      </c>
      <c r="J562">
        <v>0</v>
      </c>
      <c r="K562">
        <v>0</v>
      </c>
      <c r="L562">
        <v>200</v>
      </c>
      <c r="M562">
        <v>30</v>
      </c>
      <c r="N562">
        <v>70</v>
      </c>
      <c r="O562">
        <v>30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>
        <v>0</v>
      </c>
      <c r="AB562" t="s">
        <v>1306</v>
      </c>
    </row>
    <row r="563" spans="1:28" x14ac:dyDescent="0.25">
      <c r="H563" t="s">
        <v>1307</v>
      </c>
    </row>
    <row r="564" spans="1:28" x14ac:dyDescent="0.25">
      <c r="A564">
        <v>279</v>
      </c>
      <c r="B564">
        <v>2063</v>
      </c>
      <c r="C564" t="s">
        <v>1308</v>
      </c>
      <c r="D564" t="s">
        <v>1309</v>
      </c>
      <c r="E564" t="s">
        <v>14</v>
      </c>
      <c r="F564" t="s">
        <v>1310</v>
      </c>
      <c r="G564" t="str">
        <f>"201304000141"</f>
        <v>201304000141</v>
      </c>
      <c r="H564" t="s">
        <v>1032</v>
      </c>
      <c r="I564">
        <v>0</v>
      </c>
      <c r="J564">
        <v>0</v>
      </c>
      <c r="K564">
        <v>0</v>
      </c>
      <c r="L564">
        <v>200</v>
      </c>
      <c r="M564">
        <v>0</v>
      </c>
      <c r="N564">
        <v>70</v>
      </c>
      <c r="O564">
        <v>0</v>
      </c>
      <c r="P564">
        <v>30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0</v>
      </c>
      <c r="Z564">
        <v>0</v>
      </c>
      <c r="AA564">
        <v>0</v>
      </c>
      <c r="AB564" t="s">
        <v>1311</v>
      </c>
    </row>
    <row r="565" spans="1:28" x14ac:dyDescent="0.25">
      <c r="H565">
        <v>1009</v>
      </c>
    </row>
    <row r="566" spans="1:28" x14ac:dyDescent="0.25">
      <c r="A566">
        <v>280</v>
      </c>
      <c r="B566">
        <v>2829</v>
      </c>
      <c r="C566" t="s">
        <v>1312</v>
      </c>
      <c r="D566" t="s">
        <v>179</v>
      </c>
      <c r="E566" t="s">
        <v>20</v>
      </c>
      <c r="F566" t="s">
        <v>1313</v>
      </c>
      <c r="G566" t="str">
        <f>"201410005594"</f>
        <v>201410005594</v>
      </c>
      <c r="H566" t="s">
        <v>1032</v>
      </c>
      <c r="I566">
        <v>0</v>
      </c>
      <c r="J566">
        <v>0</v>
      </c>
      <c r="K566">
        <v>0</v>
      </c>
      <c r="L566">
        <v>200</v>
      </c>
      <c r="M566">
        <v>0</v>
      </c>
      <c r="N566">
        <v>70</v>
      </c>
      <c r="O566">
        <v>0</v>
      </c>
      <c r="P566">
        <v>30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>
        <v>0</v>
      </c>
      <c r="Z566">
        <v>0</v>
      </c>
      <c r="AA566">
        <v>0</v>
      </c>
      <c r="AB566" t="s">
        <v>1311</v>
      </c>
    </row>
    <row r="567" spans="1:28" x14ac:dyDescent="0.25">
      <c r="H567" t="s">
        <v>1314</v>
      </c>
    </row>
    <row r="568" spans="1:28" x14ac:dyDescent="0.25">
      <c r="A568">
        <v>281</v>
      </c>
      <c r="B568">
        <v>3439</v>
      </c>
      <c r="C568" t="s">
        <v>1315</v>
      </c>
      <c r="D568" t="s">
        <v>1316</v>
      </c>
      <c r="E568" t="s">
        <v>155</v>
      </c>
      <c r="F568" t="s">
        <v>1317</v>
      </c>
      <c r="G568" t="str">
        <f>"201504005041"</f>
        <v>201504005041</v>
      </c>
      <c r="H568" t="s">
        <v>1318</v>
      </c>
      <c r="I568">
        <v>0</v>
      </c>
      <c r="J568">
        <v>0</v>
      </c>
      <c r="K568">
        <v>0</v>
      </c>
      <c r="L568">
        <v>200</v>
      </c>
      <c r="M568">
        <v>0</v>
      </c>
      <c r="N568">
        <v>70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0</v>
      </c>
      <c r="AA568">
        <v>0</v>
      </c>
      <c r="AB568" t="s">
        <v>1319</v>
      </c>
    </row>
    <row r="569" spans="1:28" x14ac:dyDescent="0.25">
      <c r="H569" t="s">
        <v>1320</v>
      </c>
    </row>
    <row r="570" spans="1:28" x14ac:dyDescent="0.25">
      <c r="A570">
        <v>282</v>
      </c>
      <c r="B570">
        <v>660</v>
      </c>
      <c r="C570" t="s">
        <v>838</v>
      </c>
      <c r="D570" t="s">
        <v>155</v>
      </c>
      <c r="E570" t="s">
        <v>840</v>
      </c>
      <c r="F570" t="s">
        <v>1321</v>
      </c>
      <c r="G570" t="str">
        <f>"201402004373"</f>
        <v>201402004373</v>
      </c>
      <c r="H570">
        <v>770</v>
      </c>
      <c r="I570">
        <v>0</v>
      </c>
      <c r="J570">
        <v>0</v>
      </c>
      <c r="K570">
        <v>0</v>
      </c>
      <c r="L570">
        <v>200</v>
      </c>
      <c r="M570">
        <v>30</v>
      </c>
      <c r="N570">
        <v>70</v>
      </c>
      <c r="O570">
        <v>30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>
        <v>0</v>
      </c>
      <c r="AB570">
        <v>1100</v>
      </c>
    </row>
    <row r="571" spans="1:28" x14ac:dyDescent="0.25">
      <c r="H571" t="s">
        <v>1322</v>
      </c>
    </row>
    <row r="572" spans="1:28" x14ac:dyDescent="0.25">
      <c r="A572">
        <v>283</v>
      </c>
      <c r="B572">
        <v>2475</v>
      </c>
      <c r="C572" t="s">
        <v>1323</v>
      </c>
      <c r="D572" t="s">
        <v>1324</v>
      </c>
      <c r="E572" t="s">
        <v>155</v>
      </c>
      <c r="F572" t="s">
        <v>1325</v>
      </c>
      <c r="G572" t="str">
        <f>"201304003639"</f>
        <v>201304003639</v>
      </c>
      <c r="H572" t="s">
        <v>93</v>
      </c>
      <c r="I572">
        <v>0</v>
      </c>
      <c r="J572">
        <v>0</v>
      </c>
      <c r="K572">
        <v>0</v>
      </c>
      <c r="L572">
        <v>200</v>
      </c>
      <c r="M572">
        <v>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>
        <v>0</v>
      </c>
      <c r="Z572">
        <v>0</v>
      </c>
      <c r="AA572">
        <v>0</v>
      </c>
      <c r="AB572" t="s">
        <v>1326</v>
      </c>
    </row>
    <row r="573" spans="1:28" x14ac:dyDescent="0.25">
      <c r="H573" t="s">
        <v>1327</v>
      </c>
    </row>
    <row r="574" spans="1:28" x14ac:dyDescent="0.25">
      <c r="A574">
        <v>284</v>
      </c>
      <c r="B574">
        <v>2619</v>
      </c>
      <c r="C574" t="s">
        <v>1328</v>
      </c>
      <c r="D574" t="s">
        <v>1329</v>
      </c>
      <c r="E574" t="s">
        <v>758</v>
      </c>
      <c r="F574" t="s">
        <v>1330</v>
      </c>
      <c r="G574" t="str">
        <f>"201406002984"</f>
        <v>201406002984</v>
      </c>
      <c r="H574" t="s">
        <v>1331</v>
      </c>
      <c r="I574">
        <v>0</v>
      </c>
      <c r="J574">
        <v>0</v>
      </c>
      <c r="K574">
        <v>0</v>
      </c>
      <c r="L574">
        <v>200</v>
      </c>
      <c r="M574">
        <v>0</v>
      </c>
      <c r="N574">
        <v>70</v>
      </c>
      <c r="O574">
        <v>0</v>
      </c>
      <c r="P574">
        <v>0</v>
      </c>
      <c r="Q574">
        <v>30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>
        <v>0</v>
      </c>
      <c r="AB574" t="s">
        <v>1332</v>
      </c>
    </row>
    <row r="575" spans="1:28" x14ac:dyDescent="0.25">
      <c r="H575" t="s">
        <v>1333</v>
      </c>
    </row>
    <row r="576" spans="1:28" x14ac:dyDescent="0.25">
      <c r="A576">
        <v>285</v>
      </c>
      <c r="B576">
        <v>2506</v>
      </c>
      <c r="C576" t="s">
        <v>1334</v>
      </c>
      <c r="D576" t="s">
        <v>1335</v>
      </c>
      <c r="E576" t="s">
        <v>495</v>
      </c>
      <c r="F576" t="s">
        <v>1336</v>
      </c>
      <c r="G576" t="str">
        <f>"00137317"</f>
        <v>00137317</v>
      </c>
      <c r="H576" t="s">
        <v>1098</v>
      </c>
      <c r="I576">
        <v>0</v>
      </c>
      <c r="J576">
        <v>0</v>
      </c>
      <c r="K576">
        <v>0</v>
      </c>
      <c r="L576">
        <v>200</v>
      </c>
      <c r="M576">
        <v>0</v>
      </c>
      <c r="N576">
        <v>70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>
        <v>0</v>
      </c>
      <c r="AB576" t="s">
        <v>1337</v>
      </c>
    </row>
    <row r="577" spans="1:28" x14ac:dyDescent="0.25">
      <c r="H577" t="s">
        <v>1338</v>
      </c>
    </row>
    <row r="578" spans="1:28" x14ac:dyDescent="0.25">
      <c r="A578">
        <v>286</v>
      </c>
      <c r="B578">
        <v>1736</v>
      </c>
      <c r="C578" t="s">
        <v>1339</v>
      </c>
      <c r="D578" t="s">
        <v>1340</v>
      </c>
      <c r="E578" t="s">
        <v>218</v>
      </c>
      <c r="F578" t="s">
        <v>1341</v>
      </c>
      <c r="G578" t="str">
        <f>"00011534"</f>
        <v>00011534</v>
      </c>
      <c r="H578" t="s">
        <v>1342</v>
      </c>
      <c r="I578">
        <v>0</v>
      </c>
      <c r="J578">
        <v>0</v>
      </c>
      <c r="K578">
        <v>0</v>
      </c>
      <c r="L578">
        <v>200</v>
      </c>
      <c r="M578">
        <v>0</v>
      </c>
      <c r="N578">
        <v>70</v>
      </c>
      <c r="O578">
        <v>30</v>
      </c>
      <c r="P578">
        <v>50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>
        <v>0</v>
      </c>
      <c r="Z578">
        <v>5</v>
      </c>
      <c r="AA578">
        <v>85</v>
      </c>
      <c r="AB578" t="s">
        <v>1337</v>
      </c>
    </row>
    <row r="579" spans="1:28" x14ac:dyDescent="0.25">
      <c r="H579" t="s">
        <v>102</v>
      </c>
    </row>
    <row r="580" spans="1:28" x14ac:dyDescent="0.25">
      <c r="A580">
        <v>287</v>
      </c>
      <c r="B580">
        <v>2053</v>
      </c>
      <c r="C580" t="s">
        <v>1343</v>
      </c>
      <c r="D580" t="s">
        <v>488</v>
      </c>
      <c r="E580" t="s">
        <v>15</v>
      </c>
      <c r="F580" t="s">
        <v>1344</v>
      </c>
      <c r="G580" t="str">
        <f>"00104417"</f>
        <v>00104417</v>
      </c>
      <c r="H580">
        <v>660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24</v>
      </c>
      <c r="AA580">
        <v>408</v>
      </c>
      <c r="AB580">
        <v>1098</v>
      </c>
    </row>
    <row r="581" spans="1:28" x14ac:dyDescent="0.25">
      <c r="H581" t="s">
        <v>575</v>
      </c>
    </row>
    <row r="582" spans="1:28" x14ac:dyDescent="0.25">
      <c r="A582">
        <v>288</v>
      </c>
      <c r="B582">
        <v>365</v>
      </c>
      <c r="C582" t="s">
        <v>1345</v>
      </c>
      <c r="D582" t="s">
        <v>339</v>
      </c>
      <c r="E582" t="s">
        <v>14</v>
      </c>
      <c r="F582" t="s">
        <v>1346</v>
      </c>
      <c r="G582" t="str">
        <f>"201406001877"</f>
        <v>201406001877</v>
      </c>
      <c r="H582" t="s">
        <v>335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24</v>
      </c>
      <c r="AA582">
        <v>408</v>
      </c>
      <c r="AB582" t="s">
        <v>1347</v>
      </c>
    </row>
    <row r="583" spans="1:28" x14ac:dyDescent="0.25">
      <c r="H583" t="s">
        <v>1348</v>
      </c>
    </row>
    <row r="584" spans="1:28" x14ac:dyDescent="0.25">
      <c r="A584">
        <v>289</v>
      </c>
      <c r="B584">
        <v>4791</v>
      </c>
      <c r="C584" t="s">
        <v>1349</v>
      </c>
      <c r="D584" t="s">
        <v>187</v>
      </c>
      <c r="E584" t="s">
        <v>587</v>
      </c>
      <c r="F584" t="s">
        <v>1350</v>
      </c>
      <c r="G584" t="str">
        <f>"00297788"</f>
        <v>00297788</v>
      </c>
      <c r="H584" t="s">
        <v>335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24</v>
      </c>
      <c r="AA584">
        <v>408</v>
      </c>
      <c r="AB584" t="s">
        <v>1347</v>
      </c>
    </row>
    <row r="585" spans="1:28" x14ac:dyDescent="0.25">
      <c r="H585" t="s">
        <v>1351</v>
      </c>
    </row>
    <row r="586" spans="1:28" x14ac:dyDescent="0.25">
      <c r="A586">
        <v>290</v>
      </c>
      <c r="B586">
        <v>3260</v>
      </c>
      <c r="C586" t="s">
        <v>1352</v>
      </c>
      <c r="D586" t="s">
        <v>1353</v>
      </c>
      <c r="E586" t="s">
        <v>14</v>
      </c>
      <c r="F586" t="s">
        <v>1354</v>
      </c>
      <c r="G586" t="str">
        <f>"200805001362"</f>
        <v>200805001362</v>
      </c>
      <c r="H586" t="s">
        <v>1355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70</v>
      </c>
      <c r="O586">
        <v>0</v>
      </c>
      <c r="P586">
        <v>0</v>
      </c>
      <c r="Q586">
        <v>0</v>
      </c>
      <c r="R586">
        <v>30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9</v>
      </c>
      <c r="AA586">
        <v>153</v>
      </c>
      <c r="AB586" t="s">
        <v>1356</v>
      </c>
    </row>
    <row r="587" spans="1:28" x14ac:dyDescent="0.25">
      <c r="H587" t="s">
        <v>1357</v>
      </c>
    </row>
    <row r="588" spans="1:28" x14ac:dyDescent="0.25">
      <c r="A588">
        <v>291</v>
      </c>
      <c r="B588">
        <v>2649</v>
      </c>
      <c r="C588" t="s">
        <v>1358</v>
      </c>
      <c r="D588" t="s">
        <v>306</v>
      </c>
      <c r="E588" t="s">
        <v>50</v>
      </c>
      <c r="F588" t="s">
        <v>1359</v>
      </c>
      <c r="G588" t="str">
        <f>"201501000314"</f>
        <v>201501000314</v>
      </c>
      <c r="H588" t="s">
        <v>608</v>
      </c>
      <c r="I588">
        <v>0</v>
      </c>
      <c r="J588">
        <v>0</v>
      </c>
      <c r="K588">
        <v>0</v>
      </c>
      <c r="L588">
        <v>200</v>
      </c>
      <c r="M588">
        <v>0</v>
      </c>
      <c r="N588">
        <v>70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0</v>
      </c>
      <c r="Z588">
        <v>2</v>
      </c>
      <c r="AA588">
        <v>34</v>
      </c>
      <c r="AB588" t="s">
        <v>1360</v>
      </c>
    </row>
    <row r="589" spans="1:28" x14ac:dyDescent="0.25">
      <c r="H589" t="s">
        <v>1361</v>
      </c>
    </row>
    <row r="590" spans="1:28" x14ac:dyDescent="0.25">
      <c r="A590">
        <v>292</v>
      </c>
      <c r="B590">
        <v>4629</v>
      </c>
      <c r="C590" t="s">
        <v>305</v>
      </c>
      <c r="D590" t="s">
        <v>1362</v>
      </c>
      <c r="E590" t="s">
        <v>63</v>
      </c>
      <c r="F590" t="s">
        <v>1363</v>
      </c>
      <c r="G590" t="str">
        <f>"201405000861"</f>
        <v>201405000861</v>
      </c>
      <c r="H590" t="s">
        <v>425</v>
      </c>
      <c r="I590">
        <v>0</v>
      </c>
      <c r="J590">
        <v>0</v>
      </c>
      <c r="K590">
        <v>0</v>
      </c>
      <c r="L590">
        <v>200</v>
      </c>
      <c r="M590">
        <v>0</v>
      </c>
      <c r="N590">
        <v>70</v>
      </c>
      <c r="O590">
        <v>0</v>
      </c>
      <c r="P590">
        <v>0</v>
      </c>
      <c r="Q590">
        <v>0</v>
      </c>
      <c r="R590">
        <v>50</v>
      </c>
      <c r="S590">
        <v>0</v>
      </c>
      <c r="T590">
        <v>0</v>
      </c>
      <c r="U590">
        <v>0</v>
      </c>
      <c r="V590">
        <v>0</v>
      </c>
      <c r="X590">
        <v>0</v>
      </c>
      <c r="Y590">
        <v>0</v>
      </c>
      <c r="Z590">
        <v>0</v>
      </c>
      <c r="AA590">
        <v>0</v>
      </c>
      <c r="AB590" t="s">
        <v>1364</v>
      </c>
    </row>
    <row r="591" spans="1:28" x14ac:dyDescent="0.25">
      <c r="H591" t="s">
        <v>1365</v>
      </c>
    </row>
    <row r="592" spans="1:28" x14ac:dyDescent="0.25">
      <c r="A592">
        <v>293</v>
      </c>
      <c r="B592">
        <v>771</v>
      </c>
      <c r="C592" t="s">
        <v>1366</v>
      </c>
      <c r="D592" t="s">
        <v>38</v>
      </c>
      <c r="E592" t="s">
        <v>109</v>
      </c>
      <c r="F592" t="s">
        <v>1367</v>
      </c>
      <c r="G592" t="str">
        <f>"201406017750"</f>
        <v>201406017750</v>
      </c>
      <c r="H592" t="s">
        <v>1186</v>
      </c>
      <c r="I592">
        <v>0</v>
      </c>
      <c r="J592">
        <v>0</v>
      </c>
      <c r="K592">
        <v>0</v>
      </c>
      <c r="L592">
        <v>200</v>
      </c>
      <c r="M592">
        <v>0</v>
      </c>
      <c r="N592">
        <v>70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>
        <v>0</v>
      </c>
      <c r="AB592" t="s">
        <v>1368</v>
      </c>
    </row>
    <row r="593" spans="1:28" x14ac:dyDescent="0.25">
      <c r="H593" t="s">
        <v>152</v>
      </c>
    </row>
    <row r="594" spans="1:28" x14ac:dyDescent="0.25">
      <c r="A594">
        <v>294</v>
      </c>
      <c r="B594">
        <v>1812</v>
      </c>
      <c r="C594" t="s">
        <v>1369</v>
      </c>
      <c r="D594" t="s">
        <v>187</v>
      </c>
      <c r="E594" t="s">
        <v>20</v>
      </c>
      <c r="F594" t="s">
        <v>1370</v>
      </c>
      <c r="G594" t="str">
        <f>"201406015897"</f>
        <v>201406015897</v>
      </c>
      <c r="H594" t="s">
        <v>920</v>
      </c>
      <c r="I594">
        <v>0</v>
      </c>
      <c r="J594">
        <v>0</v>
      </c>
      <c r="K594">
        <v>0</v>
      </c>
      <c r="L594">
        <v>200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0</v>
      </c>
      <c r="Z594">
        <v>0</v>
      </c>
      <c r="AA594">
        <v>0</v>
      </c>
      <c r="AB594" t="s">
        <v>1371</v>
      </c>
    </row>
    <row r="595" spans="1:28" x14ac:dyDescent="0.25">
      <c r="H595" t="s">
        <v>1372</v>
      </c>
    </row>
    <row r="596" spans="1:28" x14ac:dyDescent="0.25">
      <c r="A596">
        <v>295</v>
      </c>
      <c r="B596">
        <v>4623</v>
      </c>
      <c r="C596" t="s">
        <v>1373</v>
      </c>
      <c r="D596" t="s">
        <v>1045</v>
      </c>
      <c r="E596" t="s">
        <v>155</v>
      </c>
      <c r="F596" t="s">
        <v>1374</v>
      </c>
      <c r="G596" t="str">
        <f>"201406017522"</f>
        <v>201406017522</v>
      </c>
      <c r="H596" t="s">
        <v>106</v>
      </c>
      <c r="I596">
        <v>0</v>
      </c>
      <c r="J596">
        <v>0</v>
      </c>
      <c r="K596">
        <v>0</v>
      </c>
      <c r="L596">
        <v>200</v>
      </c>
      <c r="M596">
        <v>0</v>
      </c>
      <c r="N596">
        <v>70</v>
      </c>
      <c r="O596">
        <v>0</v>
      </c>
      <c r="P596">
        <v>0</v>
      </c>
      <c r="Q596">
        <v>0</v>
      </c>
      <c r="R596">
        <v>30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>
        <v>0</v>
      </c>
      <c r="AB596" t="s">
        <v>1375</v>
      </c>
    </row>
    <row r="597" spans="1:28" x14ac:dyDescent="0.25">
      <c r="H597" t="s">
        <v>1376</v>
      </c>
    </row>
    <row r="598" spans="1:28" x14ac:dyDescent="0.25">
      <c r="A598">
        <v>296</v>
      </c>
      <c r="B598">
        <v>2029</v>
      </c>
      <c r="C598" t="s">
        <v>1377</v>
      </c>
      <c r="D598" t="s">
        <v>98</v>
      </c>
      <c r="E598" t="s">
        <v>282</v>
      </c>
      <c r="F598" t="s">
        <v>1378</v>
      </c>
      <c r="G598" t="str">
        <f>"00041820"</f>
        <v>00041820</v>
      </c>
      <c r="H598">
        <v>748</v>
      </c>
      <c r="I598">
        <v>0</v>
      </c>
      <c r="J598">
        <v>0</v>
      </c>
      <c r="K598">
        <v>0</v>
      </c>
      <c r="L598">
        <v>200</v>
      </c>
      <c r="M598">
        <v>0</v>
      </c>
      <c r="N598">
        <v>70</v>
      </c>
      <c r="O598">
        <v>0</v>
      </c>
      <c r="P598">
        <v>0</v>
      </c>
      <c r="Q598">
        <v>70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>
        <v>0</v>
      </c>
      <c r="Z598">
        <v>0</v>
      </c>
      <c r="AA598">
        <v>0</v>
      </c>
      <c r="AB598">
        <v>1088</v>
      </c>
    </row>
    <row r="599" spans="1:28" x14ac:dyDescent="0.25">
      <c r="H599">
        <v>1009</v>
      </c>
    </row>
    <row r="600" spans="1:28" x14ac:dyDescent="0.25">
      <c r="A600">
        <v>297</v>
      </c>
      <c r="B600">
        <v>2484</v>
      </c>
      <c r="C600" t="s">
        <v>1379</v>
      </c>
      <c r="D600" t="s">
        <v>1380</v>
      </c>
      <c r="E600" t="s">
        <v>218</v>
      </c>
      <c r="F600">
        <v>458050</v>
      </c>
      <c r="G600" t="str">
        <f>"201607121138"</f>
        <v>201607121138</v>
      </c>
      <c r="H600" t="s">
        <v>508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10</v>
      </c>
      <c r="AA600">
        <v>170</v>
      </c>
      <c r="AB600" t="s">
        <v>1381</v>
      </c>
    </row>
    <row r="601" spans="1:28" x14ac:dyDescent="0.25">
      <c r="H601">
        <v>1009</v>
      </c>
    </row>
    <row r="602" spans="1:28" x14ac:dyDescent="0.25">
      <c r="A602">
        <v>298</v>
      </c>
      <c r="B602">
        <v>2780</v>
      </c>
      <c r="C602" t="s">
        <v>1382</v>
      </c>
      <c r="D602" t="s">
        <v>14</v>
      </c>
      <c r="E602" t="s">
        <v>80</v>
      </c>
      <c r="F602" t="s">
        <v>1383</v>
      </c>
      <c r="G602" t="str">
        <f>"201406003733"</f>
        <v>201406003733</v>
      </c>
      <c r="H602" t="s">
        <v>1384</v>
      </c>
      <c r="I602">
        <v>0</v>
      </c>
      <c r="J602">
        <v>0</v>
      </c>
      <c r="K602">
        <v>0</v>
      </c>
      <c r="L602">
        <v>260</v>
      </c>
      <c r="M602">
        <v>0</v>
      </c>
      <c r="N602">
        <v>70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>
        <v>0</v>
      </c>
      <c r="AB602" t="s">
        <v>1385</v>
      </c>
    </row>
    <row r="603" spans="1:28" x14ac:dyDescent="0.25">
      <c r="H603" t="s">
        <v>1386</v>
      </c>
    </row>
    <row r="604" spans="1:28" x14ac:dyDescent="0.25">
      <c r="A604">
        <v>299</v>
      </c>
      <c r="B604">
        <v>1709</v>
      </c>
      <c r="C604" t="s">
        <v>1387</v>
      </c>
      <c r="D604" t="s">
        <v>271</v>
      </c>
      <c r="E604" t="s">
        <v>117</v>
      </c>
      <c r="F604" t="s">
        <v>1388</v>
      </c>
      <c r="G604" t="str">
        <f>"201406012805"</f>
        <v>201406012805</v>
      </c>
      <c r="H604" t="s">
        <v>214</v>
      </c>
      <c r="I604">
        <v>0</v>
      </c>
      <c r="J604">
        <v>0</v>
      </c>
      <c r="K604">
        <v>0</v>
      </c>
      <c r="L604">
        <v>200</v>
      </c>
      <c r="M604">
        <v>0</v>
      </c>
      <c r="N604">
        <v>70</v>
      </c>
      <c r="O604">
        <v>0</v>
      </c>
      <c r="P604">
        <v>50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>
        <v>0</v>
      </c>
      <c r="AB604" t="s">
        <v>1389</v>
      </c>
    </row>
    <row r="605" spans="1:28" x14ac:dyDescent="0.25">
      <c r="H605" t="s">
        <v>1390</v>
      </c>
    </row>
    <row r="606" spans="1:28" x14ac:dyDescent="0.25">
      <c r="A606">
        <v>300</v>
      </c>
      <c r="B606">
        <v>3097</v>
      </c>
      <c r="C606" t="s">
        <v>1391</v>
      </c>
      <c r="D606" t="s">
        <v>387</v>
      </c>
      <c r="E606" t="s">
        <v>134</v>
      </c>
      <c r="F606" t="s">
        <v>1392</v>
      </c>
      <c r="G606" t="str">
        <f>"201506001651"</f>
        <v>201506001651</v>
      </c>
      <c r="H606" t="s">
        <v>140</v>
      </c>
      <c r="I606">
        <v>0</v>
      </c>
      <c r="J606">
        <v>0</v>
      </c>
      <c r="K606">
        <v>0</v>
      </c>
      <c r="L606">
        <v>200</v>
      </c>
      <c r="M606">
        <v>0</v>
      </c>
      <c r="N606">
        <v>70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3</v>
      </c>
      <c r="AA606">
        <v>51</v>
      </c>
      <c r="AB606" t="s">
        <v>1393</v>
      </c>
    </row>
    <row r="607" spans="1:28" x14ac:dyDescent="0.25">
      <c r="H607" t="s">
        <v>1394</v>
      </c>
    </row>
    <row r="608" spans="1:28" x14ac:dyDescent="0.25">
      <c r="A608">
        <v>301</v>
      </c>
      <c r="B608">
        <v>1846</v>
      </c>
      <c r="C608" t="s">
        <v>1395</v>
      </c>
      <c r="D608" t="s">
        <v>271</v>
      </c>
      <c r="E608" t="s">
        <v>14</v>
      </c>
      <c r="F608" t="s">
        <v>1396</v>
      </c>
      <c r="G608" t="str">
        <f>"201402011683"</f>
        <v>201402011683</v>
      </c>
      <c r="H608" t="s">
        <v>583</v>
      </c>
      <c r="I608">
        <v>0</v>
      </c>
      <c r="J608">
        <v>0</v>
      </c>
      <c r="K608">
        <v>0</v>
      </c>
      <c r="L608">
        <v>260</v>
      </c>
      <c r="M608">
        <v>0</v>
      </c>
      <c r="N608">
        <v>70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>
        <v>0</v>
      </c>
      <c r="AB608" t="s">
        <v>1397</v>
      </c>
    </row>
    <row r="609" spans="1:28" x14ac:dyDescent="0.25">
      <c r="H609" t="s">
        <v>739</v>
      </c>
    </row>
    <row r="610" spans="1:28" x14ac:dyDescent="0.25">
      <c r="A610">
        <v>302</v>
      </c>
      <c r="B610">
        <v>558</v>
      </c>
      <c r="C610" t="s">
        <v>1398</v>
      </c>
      <c r="D610" t="s">
        <v>356</v>
      </c>
      <c r="E610" t="s">
        <v>44</v>
      </c>
      <c r="F610" t="s">
        <v>1399</v>
      </c>
      <c r="G610" t="str">
        <f>"201406012027"</f>
        <v>201406012027</v>
      </c>
      <c r="H610" t="s">
        <v>1400</v>
      </c>
      <c r="I610">
        <v>0</v>
      </c>
      <c r="J610">
        <v>0</v>
      </c>
      <c r="K610">
        <v>0</v>
      </c>
      <c r="L610">
        <v>200</v>
      </c>
      <c r="M610">
        <v>30</v>
      </c>
      <c r="N610">
        <v>70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>
        <v>0</v>
      </c>
      <c r="AB610" t="s">
        <v>1401</v>
      </c>
    </row>
    <row r="611" spans="1:28" x14ac:dyDescent="0.25">
      <c r="H611" t="s">
        <v>1402</v>
      </c>
    </row>
    <row r="612" spans="1:28" x14ac:dyDescent="0.25">
      <c r="A612">
        <v>303</v>
      </c>
      <c r="B612">
        <v>1199</v>
      </c>
      <c r="C612" t="s">
        <v>1403</v>
      </c>
      <c r="D612" t="s">
        <v>1404</v>
      </c>
      <c r="E612" t="s">
        <v>1405</v>
      </c>
      <c r="F612" t="s">
        <v>1406</v>
      </c>
      <c r="G612" t="str">
        <f>"201406006421"</f>
        <v>201406006421</v>
      </c>
      <c r="H612" t="s">
        <v>395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50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70</v>
      </c>
      <c r="V612">
        <v>0</v>
      </c>
      <c r="X612">
        <v>0</v>
      </c>
      <c r="Y612">
        <v>0</v>
      </c>
      <c r="Z612">
        <v>13</v>
      </c>
      <c r="AA612">
        <v>221</v>
      </c>
      <c r="AB612" t="s">
        <v>1407</v>
      </c>
    </row>
    <row r="613" spans="1:28" x14ac:dyDescent="0.25">
      <c r="H613" t="s">
        <v>1408</v>
      </c>
    </row>
    <row r="614" spans="1:28" x14ac:dyDescent="0.25">
      <c r="A614">
        <v>304</v>
      </c>
      <c r="B614">
        <v>3014</v>
      </c>
      <c r="C614" t="s">
        <v>1409</v>
      </c>
      <c r="D614" t="s">
        <v>1410</v>
      </c>
      <c r="E614" t="s">
        <v>20</v>
      </c>
      <c r="F614" t="s">
        <v>1411</v>
      </c>
      <c r="G614" t="str">
        <f>"00244293"</f>
        <v>00244293</v>
      </c>
      <c r="H614" t="s">
        <v>1412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>
        <v>0</v>
      </c>
      <c r="Z614">
        <v>19</v>
      </c>
      <c r="AA614">
        <v>323</v>
      </c>
      <c r="AB614" t="s">
        <v>1413</v>
      </c>
    </row>
    <row r="615" spans="1:28" x14ac:dyDescent="0.25">
      <c r="H615" t="s">
        <v>1414</v>
      </c>
    </row>
    <row r="616" spans="1:28" x14ac:dyDescent="0.25">
      <c r="A616">
        <v>305</v>
      </c>
      <c r="B616">
        <v>2281</v>
      </c>
      <c r="C616" t="s">
        <v>1415</v>
      </c>
      <c r="D616" t="s">
        <v>15</v>
      </c>
      <c r="E616" t="s">
        <v>14</v>
      </c>
      <c r="F616" t="s">
        <v>1416</v>
      </c>
      <c r="G616" t="str">
        <f>"200712001188"</f>
        <v>200712001188</v>
      </c>
      <c r="H616" t="s">
        <v>1417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50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24</v>
      </c>
      <c r="AA616">
        <v>408</v>
      </c>
      <c r="AB616" t="s">
        <v>1418</v>
      </c>
    </row>
    <row r="617" spans="1:28" x14ac:dyDescent="0.25">
      <c r="H617" t="s">
        <v>1419</v>
      </c>
    </row>
    <row r="618" spans="1:28" x14ac:dyDescent="0.25">
      <c r="A618">
        <v>306</v>
      </c>
      <c r="B618">
        <v>2587</v>
      </c>
      <c r="C618" t="s">
        <v>1420</v>
      </c>
      <c r="D618" t="s">
        <v>311</v>
      </c>
      <c r="E618" t="s">
        <v>51</v>
      </c>
      <c r="F618" t="s">
        <v>1421</v>
      </c>
      <c r="G618" t="str">
        <f>"200712001483"</f>
        <v>200712001483</v>
      </c>
      <c r="H618" t="s">
        <v>912</v>
      </c>
      <c r="I618">
        <v>0</v>
      </c>
      <c r="J618">
        <v>0</v>
      </c>
      <c r="K618">
        <v>0</v>
      </c>
      <c r="L618">
        <v>200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>
        <v>0</v>
      </c>
      <c r="AB618" t="s">
        <v>1422</v>
      </c>
    </row>
    <row r="619" spans="1:28" x14ac:dyDescent="0.25">
      <c r="H619" t="s">
        <v>1423</v>
      </c>
    </row>
    <row r="620" spans="1:28" x14ac:dyDescent="0.25">
      <c r="A620">
        <v>307</v>
      </c>
      <c r="B620">
        <v>4832</v>
      </c>
      <c r="C620" t="s">
        <v>1424</v>
      </c>
      <c r="D620" t="s">
        <v>84</v>
      </c>
      <c r="E620" t="s">
        <v>20</v>
      </c>
      <c r="F620" t="s">
        <v>1425</v>
      </c>
      <c r="G620" t="str">
        <f>"00115853"</f>
        <v>00115853</v>
      </c>
      <c r="H620" t="s">
        <v>1301</v>
      </c>
      <c r="I620">
        <v>0</v>
      </c>
      <c r="J620">
        <v>0</v>
      </c>
      <c r="K620">
        <v>0</v>
      </c>
      <c r="L620">
        <v>200</v>
      </c>
      <c r="M620">
        <v>0</v>
      </c>
      <c r="N620">
        <v>50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>
        <v>0</v>
      </c>
      <c r="Z620">
        <v>0</v>
      </c>
      <c r="AA620">
        <v>0</v>
      </c>
      <c r="AB620" t="s">
        <v>1426</v>
      </c>
    </row>
    <row r="621" spans="1:28" x14ac:dyDescent="0.25">
      <c r="H621" t="s">
        <v>605</v>
      </c>
    </row>
    <row r="622" spans="1:28" x14ac:dyDescent="0.25">
      <c r="A622">
        <v>308</v>
      </c>
      <c r="B622">
        <v>2010</v>
      </c>
      <c r="C622" t="s">
        <v>1427</v>
      </c>
      <c r="D622" t="s">
        <v>265</v>
      </c>
      <c r="E622" t="s">
        <v>38</v>
      </c>
      <c r="F622" t="s">
        <v>1428</v>
      </c>
      <c r="G622" t="str">
        <f>"201511040644"</f>
        <v>201511040644</v>
      </c>
      <c r="H622">
        <v>781</v>
      </c>
      <c r="I622">
        <v>0</v>
      </c>
      <c r="J622">
        <v>0</v>
      </c>
      <c r="K622">
        <v>0</v>
      </c>
      <c r="L622">
        <v>200</v>
      </c>
      <c r="M622">
        <v>0</v>
      </c>
      <c r="N622">
        <v>70</v>
      </c>
      <c r="O622">
        <v>30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0</v>
      </c>
      <c r="Z622">
        <v>0</v>
      </c>
      <c r="AA622">
        <v>0</v>
      </c>
      <c r="AB622">
        <v>1081</v>
      </c>
    </row>
    <row r="623" spans="1:28" x14ac:dyDescent="0.25">
      <c r="H623" t="s">
        <v>1429</v>
      </c>
    </row>
    <row r="624" spans="1:28" x14ac:dyDescent="0.25">
      <c r="A624">
        <v>309</v>
      </c>
      <c r="B624">
        <v>3022</v>
      </c>
      <c r="C624" t="s">
        <v>1430</v>
      </c>
      <c r="D624" t="s">
        <v>1280</v>
      </c>
      <c r="E624" t="s">
        <v>1431</v>
      </c>
      <c r="F624" t="s">
        <v>1432</v>
      </c>
      <c r="G624" t="str">
        <f>"201304005176"</f>
        <v>201304005176</v>
      </c>
      <c r="H624" t="s">
        <v>163</v>
      </c>
      <c r="I624">
        <v>0</v>
      </c>
      <c r="J624">
        <v>0</v>
      </c>
      <c r="K624">
        <v>0</v>
      </c>
      <c r="L624">
        <v>200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0</v>
      </c>
      <c r="Z624">
        <v>0</v>
      </c>
      <c r="AA624">
        <v>0</v>
      </c>
      <c r="AB624" t="s">
        <v>1433</v>
      </c>
    </row>
    <row r="625" spans="1:28" x14ac:dyDescent="0.25">
      <c r="H625">
        <v>1009</v>
      </c>
    </row>
    <row r="626" spans="1:28" x14ac:dyDescent="0.25">
      <c r="A626">
        <v>310</v>
      </c>
      <c r="B626">
        <v>375</v>
      </c>
      <c r="C626" t="s">
        <v>1434</v>
      </c>
      <c r="D626" t="s">
        <v>15</v>
      </c>
      <c r="E626" t="s">
        <v>155</v>
      </c>
      <c r="F626" t="s">
        <v>1435</v>
      </c>
      <c r="G626" t="str">
        <f>"201402003143"</f>
        <v>201402003143</v>
      </c>
      <c r="H626" t="s">
        <v>521</v>
      </c>
      <c r="I626">
        <v>0</v>
      </c>
      <c r="J626">
        <v>0</v>
      </c>
      <c r="K626">
        <v>0</v>
      </c>
      <c r="L626">
        <v>200</v>
      </c>
      <c r="M626">
        <v>0</v>
      </c>
      <c r="N626">
        <v>70</v>
      </c>
      <c r="O626">
        <v>0</v>
      </c>
      <c r="P626">
        <v>30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>
        <v>0</v>
      </c>
      <c r="Z626">
        <v>0</v>
      </c>
      <c r="AA626">
        <v>0</v>
      </c>
      <c r="AB626" t="s">
        <v>1436</v>
      </c>
    </row>
    <row r="627" spans="1:28" x14ac:dyDescent="0.25">
      <c r="H627" t="s">
        <v>1437</v>
      </c>
    </row>
    <row r="628" spans="1:28" x14ac:dyDescent="0.25">
      <c r="A628">
        <v>311</v>
      </c>
      <c r="B628">
        <v>2625</v>
      </c>
      <c r="C628" t="s">
        <v>1349</v>
      </c>
      <c r="D628" t="s">
        <v>43</v>
      </c>
      <c r="E628" t="s">
        <v>80</v>
      </c>
      <c r="F628" t="s">
        <v>1438</v>
      </c>
      <c r="G628" t="str">
        <f>"00018349"</f>
        <v>00018349</v>
      </c>
      <c r="H628" t="s">
        <v>460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70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0</v>
      </c>
      <c r="Z628">
        <v>0</v>
      </c>
      <c r="AA628">
        <v>0</v>
      </c>
      <c r="AB628" t="s">
        <v>1439</v>
      </c>
    </row>
    <row r="629" spans="1:28" x14ac:dyDescent="0.25">
      <c r="H629" t="s">
        <v>1440</v>
      </c>
    </row>
    <row r="630" spans="1:28" x14ac:dyDescent="0.25">
      <c r="A630">
        <v>312</v>
      </c>
      <c r="B630">
        <v>858</v>
      </c>
      <c r="C630" t="s">
        <v>845</v>
      </c>
      <c r="D630" t="s">
        <v>1441</v>
      </c>
      <c r="E630" t="s">
        <v>14</v>
      </c>
      <c r="F630" t="s">
        <v>1442</v>
      </c>
      <c r="G630" t="str">
        <f>"201402000861"</f>
        <v>201402000861</v>
      </c>
      <c r="H630" t="s">
        <v>1443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24</v>
      </c>
      <c r="AA630">
        <v>408</v>
      </c>
      <c r="AB630" t="s">
        <v>1444</v>
      </c>
    </row>
    <row r="631" spans="1:28" x14ac:dyDescent="0.25">
      <c r="H631" t="s">
        <v>1445</v>
      </c>
    </row>
    <row r="632" spans="1:28" x14ac:dyDescent="0.25">
      <c r="A632">
        <v>313</v>
      </c>
      <c r="B632">
        <v>5060</v>
      </c>
      <c r="C632" t="s">
        <v>1446</v>
      </c>
      <c r="D632" t="s">
        <v>20</v>
      </c>
      <c r="E632" t="s">
        <v>14</v>
      </c>
      <c r="F632" t="s">
        <v>1447</v>
      </c>
      <c r="G632" t="str">
        <f>"201406011482"</f>
        <v>201406011482</v>
      </c>
      <c r="H632" t="s">
        <v>284</v>
      </c>
      <c r="I632">
        <v>0</v>
      </c>
      <c r="J632">
        <v>0</v>
      </c>
      <c r="K632">
        <v>0</v>
      </c>
      <c r="L632">
        <v>260</v>
      </c>
      <c r="M632">
        <v>0</v>
      </c>
      <c r="N632">
        <v>70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>
        <v>0</v>
      </c>
      <c r="AB632" t="s">
        <v>1448</v>
      </c>
    </row>
    <row r="633" spans="1:28" x14ac:dyDescent="0.25">
      <c r="H633" t="s">
        <v>1449</v>
      </c>
    </row>
    <row r="634" spans="1:28" x14ac:dyDescent="0.25">
      <c r="A634">
        <v>314</v>
      </c>
      <c r="B634">
        <v>1977</v>
      </c>
      <c r="C634" t="s">
        <v>1450</v>
      </c>
      <c r="D634" t="s">
        <v>50</v>
      </c>
      <c r="E634" t="s">
        <v>14</v>
      </c>
      <c r="F634" t="s">
        <v>1451</v>
      </c>
      <c r="G634" t="str">
        <f>"200801009531"</f>
        <v>200801009531</v>
      </c>
      <c r="H634" t="s">
        <v>175</v>
      </c>
      <c r="I634">
        <v>0</v>
      </c>
      <c r="J634">
        <v>0</v>
      </c>
      <c r="K634">
        <v>0</v>
      </c>
      <c r="L634">
        <v>200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70</v>
      </c>
      <c r="U634">
        <v>0</v>
      </c>
      <c r="V634">
        <v>0</v>
      </c>
      <c r="X634">
        <v>0</v>
      </c>
      <c r="Y634">
        <v>0</v>
      </c>
      <c r="Z634">
        <v>0</v>
      </c>
      <c r="AA634">
        <v>0</v>
      </c>
      <c r="AB634" t="s">
        <v>1452</v>
      </c>
    </row>
    <row r="635" spans="1:28" x14ac:dyDescent="0.25">
      <c r="H635" t="s">
        <v>1453</v>
      </c>
    </row>
    <row r="636" spans="1:28" x14ac:dyDescent="0.25">
      <c r="A636">
        <v>315</v>
      </c>
      <c r="B636">
        <v>2153</v>
      </c>
      <c r="C636" t="s">
        <v>1454</v>
      </c>
      <c r="D636" t="s">
        <v>265</v>
      </c>
      <c r="E636" t="s">
        <v>495</v>
      </c>
      <c r="F636" t="s">
        <v>1455</v>
      </c>
      <c r="G636" t="str">
        <f>"201506000643"</f>
        <v>201506000643</v>
      </c>
      <c r="H636" t="s">
        <v>1456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50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24</v>
      </c>
      <c r="AA636">
        <v>408</v>
      </c>
      <c r="AB636" t="s">
        <v>1457</v>
      </c>
    </row>
    <row r="637" spans="1:28" x14ac:dyDescent="0.25">
      <c r="H637" t="s">
        <v>1458</v>
      </c>
    </row>
    <row r="638" spans="1:28" x14ac:dyDescent="0.25">
      <c r="A638">
        <v>316</v>
      </c>
      <c r="B638">
        <v>2476</v>
      </c>
      <c r="C638" t="s">
        <v>1459</v>
      </c>
      <c r="D638" t="s">
        <v>366</v>
      </c>
      <c r="E638" t="s">
        <v>357</v>
      </c>
      <c r="F638" t="s">
        <v>1460</v>
      </c>
      <c r="G638" t="str">
        <f>"00123302"</f>
        <v>00123302</v>
      </c>
      <c r="H638" t="s">
        <v>490</v>
      </c>
      <c r="I638">
        <v>0</v>
      </c>
      <c r="J638">
        <v>0</v>
      </c>
      <c r="K638">
        <v>0</v>
      </c>
      <c r="L638">
        <v>200</v>
      </c>
      <c r="M638">
        <v>0</v>
      </c>
      <c r="N638">
        <v>50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>
        <v>0</v>
      </c>
      <c r="Z638">
        <v>5</v>
      </c>
      <c r="AA638">
        <v>85</v>
      </c>
      <c r="AB638" t="s">
        <v>1461</v>
      </c>
    </row>
    <row r="639" spans="1:28" x14ac:dyDescent="0.25">
      <c r="H639" t="s">
        <v>1462</v>
      </c>
    </row>
    <row r="640" spans="1:28" x14ac:dyDescent="0.25">
      <c r="A640">
        <v>317</v>
      </c>
      <c r="B640">
        <v>1496</v>
      </c>
      <c r="C640" t="s">
        <v>1463</v>
      </c>
      <c r="D640" t="s">
        <v>587</v>
      </c>
      <c r="E640" t="s">
        <v>134</v>
      </c>
      <c r="F640" t="s">
        <v>1464</v>
      </c>
      <c r="G640" t="str">
        <f>"00228704"</f>
        <v>00228704</v>
      </c>
      <c r="H640" t="s">
        <v>318</v>
      </c>
      <c r="I640">
        <v>150</v>
      </c>
      <c r="J640">
        <v>0</v>
      </c>
      <c r="K640">
        <v>0</v>
      </c>
      <c r="L640">
        <v>200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>
        <v>0</v>
      </c>
      <c r="AB640" t="s">
        <v>1465</v>
      </c>
    </row>
    <row r="641" spans="1:28" x14ac:dyDescent="0.25">
      <c r="H641" t="s">
        <v>1466</v>
      </c>
    </row>
    <row r="642" spans="1:28" x14ac:dyDescent="0.25">
      <c r="A642">
        <v>318</v>
      </c>
      <c r="B642">
        <v>3403</v>
      </c>
      <c r="C642" t="s">
        <v>1467</v>
      </c>
      <c r="D642" t="s">
        <v>480</v>
      </c>
      <c r="E642" t="s">
        <v>51</v>
      </c>
      <c r="F642" t="s">
        <v>1468</v>
      </c>
      <c r="G642" t="str">
        <f>"201406003826"</f>
        <v>201406003826</v>
      </c>
      <c r="H642" t="s">
        <v>851</v>
      </c>
      <c r="I642">
        <v>0</v>
      </c>
      <c r="J642">
        <v>0</v>
      </c>
      <c r="K642">
        <v>0</v>
      </c>
      <c r="L642">
        <v>200</v>
      </c>
      <c r="M642">
        <v>0</v>
      </c>
      <c r="N642">
        <v>50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>
        <v>0</v>
      </c>
      <c r="AB642" t="s">
        <v>1469</v>
      </c>
    </row>
    <row r="643" spans="1:28" x14ac:dyDescent="0.25">
      <c r="H643" t="s">
        <v>1470</v>
      </c>
    </row>
    <row r="644" spans="1:28" x14ac:dyDescent="0.25">
      <c r="A644">
        <v>319</v>
      </c>
      <c r="B644">
        <v>5013</v>
      </c>
      <c r="C644" t="s">
        <v>1471</v>
      </c>
      <c r="D644" t="s">
        <v>39</v>
      </c>
      <c r="E644" t="s">
        <v>20</v>
      </c>
      <c r="F644" t="s">
        <v>1472</v>
      </c>
      <c r="G644" t="str">
        <f>"00369992"</f>
        <v>00369992</v>
      </c>
      <c r="H644" t="s">
        <v>1473</v>
      </c>
      <c r="I644">
        <v>0</v>
      </c>
      <c r="J644">
        <v>0</v>
      </c>
      <c r="K644">
        <v>0</v>
      </c>
      <c r="L644">
        <v>200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1</v>
      </c>
      <c r="Y644">
        <v>0</v>
      </c>
      <c r="Z644">
        <v>0</v>
      </c>
      <c r="AA644">
        <v>0</v>
      </c>
      <c r="AB644" t="s">
        <v>1474</v>
      </c>
    </row>
    <row r="645" spans="1:28" x14ac:dyDescent="0.25">
      <c r="H645">
        <v>1009</v>
      </c>
    </row>
    <row r="646" spans="1:28" x14ac:dyDescent="0.25">
      <c r="A646">
        <v>320</v>
      </c>
      <c r="B646">
        <v>4969</v>
      </c>
      <c r="C646" t="s">
        <v>1475</v>
      </c>
      <c r="D646" t="s">
        <v>20</v>
      </c>
      <c r="E646" t="s">
        <v>282</v>
      </c>
      <c r="F646" t="s">
        <v>1476</v>
      </c>
      <c r="G646" t="str">
        <f>"201405000823"</f>
        <v>201405000823</v>
      </c>
      <c r="H646" t="s">
        <v>876</v>
      </c>
      <c r="I646">
        <v>0</v>
      </c>
      <c r="J646">
        <v>0</v>
      </c>
      <c r="K646">
        <v>0</v>
      </c>
      <c r="L646">
        <v>0</v>
      </c>
      <c r="M646">
        <v>100</v>
      </c>
      <c r="N646">
        <v>70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>
        <v>0</v>
      </c>
      <c r="AB646" t="s">
        <v>1477</v>
      </c>
    </row>
    <row r="647" spans="1:28" x14ac:dyDescent="0.25">
      <c r="H647" t="s">
        <v>1478</v>
      </c>
    </row>
    <row r="648" spans="1:28" x14ac:dyDescent="0.25">
      <c r="A648">
        <v>321</v>
      </c>
      <c r="B648">
        <v>4436</v>
      </c>
      <c r="C648" t="s">
        <v>90</v>
      </c>
      <c r="D648" t="s">
        <v>1479</v>
      </c>
      <c r="E648" t="s">
        <v>155</v>
      </c>
      <c r="F648" t="s">
        <v>1480</v>
      </c>
      <c r="G648" t="str">
        <f>"201304004183"</f>
        <v>201304004183</v>
      </c>
      <c r="H648" t="s">
        <v>1032</v>
      </c>
      <c r="I648">
        <v>0</v>
      </c>
      <c r="J648">
        <v>0</v>
      </c>
      <c r="K648">
        <v>0</v>
      </c>
      <c r="L648">
        <v>200</v>
      </c>
      <c r="M648">
        <v>0</v>
      </c>
      <c r="N648">
        <v>70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>
        <v>0</v>
      </c>
      <c r="AB648" t="s">
        <v>1481</v>
      </c>
    </row>
    <row r="649" spans="1:28" x14ac:dyDescent="0.25">
      <c r="H649" t="s">
        <v>1482</v>
      </c>
    </row>
    <row r="650" spans="1:28" x14ac:dyDescent="0.25">
      <c r="A650">
        <v>322</v>
      </c>
      <c r="B650">
        <v>735</v>
      </c>
      <c r="C650" t="s">
        <v>1483</v>
      </c>
      <c r="D650" t="s">
        <v>51</v>
      </c>
      <c r="E650" t="s">
        <v>50</v>
      </c>
      <c r="F650" t="s">
        <v>1484</v>
      </c>
      <c r="G650" t="str">
        <f>"201411002016"</f>
        <v>201411002016</v>
      </c>
      <c r="H650" t="s">
        <v>1485</v>
      </c>
      <c r="I650">
        <v>0</v>
      </c>
      <c r="J650">
        <v>0</v>
      </c>
      <c r="K650">
        <v>0</v>
      </c>
      <c r="L650">
        <v>200</v>
      </c>
      <c r="M650">
        <v>0</v>
      </c>
      <c r="N650">
        <v>50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>
        <v>0</v>
      </c>
      <c r="AB650" t="s">
        <v>1486</v>
      </c>
    </row>
    <row r="651" spans="1:28" x14ac:dyDescent="0.25">
      <c r="H651" t="s">
        <v>1487</v>
      </c>
    </row>
    <row r="652" spans="1:28" x14ac:dyDescent="0.25">
      <c r="A652">
        <v>323</v>
      </c>
      <c r="B652">
        <v>3782</v>
      </c>
      <c r="C652" t="s">
        <v>1488</v>
      </c>
      <c r="D652" t="s">
        <v>98</v>
      </c>
      <c r="E652" t="s">
        <v>14</v>
      </c>
      <c r="F652" t="s">
        <v>1489</v>
      </c>
      <c r="G652" t="str">
        <f>"201406008204"</f>
        <v>201406008204</v>
      </c>
      <c r="H652">
        <v>770</v>
      </c>
      <c r="I652">
        <v>0</v>
      </c>
      <c r="J652">
        <v>0</v>
      </c>
      <c r="K652">
        <v>0</v>
      </c>
      <c r="L652">
        <v>200</v>
      </c>
      <c r="M652">
        <v>0</v>
      </c>
      <c r="N652">
        <v>70</v>
      </c>
      <c r="O652">
        <v>30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>
        <v>0</v>
      </c>
      <c r="AB652">
        <v>1070</v>
      </c>
    </row>
    <row r="653" spans="1:28" x14ac:dyDescent="0.25">
      <c r="H653" t="s">
        <v>1490</v>
      </c>
    </row>
    <row r="654" spans="1:28" x14ac:dyDescent="0.25">
      <c r="A654">
        <v>324</v>
      </c>
      <c r="B654">
        <v>4014</v>
      </c>
      <c r="C654" t="s">
        <v>1491</v>
      </c>
      <c r="D654" t="s">
        <v>138</v>
      </c>
      <c r="E654" t="s">
        <v>51</v>
      </c>
      <c r="F654" t="s">
        <v>1492</v>
      </c>
      <c r="G654" t="str">
        <f>"201304002290"</f>
        <v>201304002290</v>
      </c>
      <c r="H654" t="s">
        <v>822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5</v>
      </c>
      <c r="AA654">
        <v>85</v>
      </c>
      <c r="AB654" t="s">
        <v>1493</v>
      </c>
    </row>
    <row r="655" spans="1:28" x14ac:dyDescent="0.25">
      <c r="H655" t="s">
        <v>1494</v>
      </c>
    </row>
    <row r="656" spans="1:28" x14ac:dyDescent="0.25">
      <c r="A656">
        <v>325</v>
      </c>
      <c r="B656">
        <v>2088</v>
      </c>
      <c r="C656" t="s">
        <v>1495</v>
      </c>
      <c r="D656" t="s">
        <v>807</v>
      </c>
      <c r="E656" t="s">
        <v>1036</v>
      </c>
      <c r="F656" t="s">
        <v>1496</v>
      </c>
      <c r="G656" t="str">
        <f>"201405001447"</f>
        <v>201405001447</v>
      </c>
      <c r="H656" t="s">
        <v>1497</v>
      </c>
      <c r="I656">
        <v>0</v>
      </c>
      <c r="J656">
        <v>0</v>
      </c>
      <c r="K656">
        <v>0</v>
      </c>
      <c r="L656">
        <v>200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5</v>
      </c>
      <c r="AA656">
        <v>85</v>
      </c>
      <c r="AB656" t="s">
        <v>1498</v>
      </c>
    </row>
    <row r="657" spans="1:28" x14ac:dyDescent="0.25">
      <c r="H657" t="s">
        <v>1499</v>
      </c>
    </row>
    <row r="658" spans="1:28" x14ac:dyDescent="0.25">
      <c r="A658">
        <v>326</v>
      </c>
      <c r="B658">
        <v>4801</v>
      </c>
      <c r="C658" t="s">
        <v>1500</v>
      </c>
      <c r="D658" t="s">
        <v>1479</v>
      </c>
      <c r="E658" t="s">
        <v>15</v>
      </c>
      <c r="F658" t="s">
        <v>1501</v>
      </c>
      <c r="G658" t="str">
        <f>"201406013448"</f>
        <v>201406013448</v>
      </c>
      <c r="H658" t="s">
        <v>1331</v>
      </c>
      <c r="I658">
        <v>0</v>
      </c>
      <c r="J658">
        <v>0</v>
      </c>
      <c r="K658">
        <v>0</v>
      </c>
      <c r="L658">
        <v>200</v>
      </c>
      <c r="M658">
        <v>0</v>
      </c>
      <c r="N658">
        <v>70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>
        <v>0</v>
      </c>
      <c r="Z658">
        <v>0</v>
      </c>
      <c r="AA658">
        <v>0</v>
      </c>
      <c r="AB658" t="s">
        <v>1502</v>
      </c>
    </row>
    <row r="659" spans="1:28" x14ac:dyDescent="0.25">
      <c r="H659" t="s">
        <v>1503</v>
      </c>
    </row>
    <row r="660" spans="1:28" x14ac:dyDescent="0.25">
      <c r="A660">
        <v>327</v>
      </c>
      <c r="B660">
        <v>914</v>
      </c>
      <c r="C660" t="s">
        <v>1504</v>
      </c>
      <c r="D660" t="s">
        <v>51</v>
      </c>
      <c r="E660" t="s">
        <v>98</v>
      </c>
      <c r="F660" t="s">
        <v>1505</v>
      </c>
      <c r="G660" t="str">
        <f>"201504002112"</f>
        <v>201504002112</v>
      </c>
      <c r="H660" t="s">
        <v>1331</v>
      </c>
      <c r="I660">
        <v>0</v>
      </c>
      <c r="J660">
        <v>0</v>
      </c>
      <c r="K660">
        <v>0</v>
      </c>
      <c r="L660">
        <v>200</v>
      </c>
      <c r="M660">
        <v>0</v>
      </c>
      <c r="N660">
        <v>70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0</v>
      </c>
      <c r="AB660" t="s">
        <v>1502</v>
      </c>
    </row>
    <row r="661" spans="1:28" x14ac:dyDescent="0.25">
      <c r="H661" t="s">
        <v>1506</v>
      </c>
    </row>
    <row r="662" spans="1:28" x14ac:dyDescent="0.25">
      <c r="A662">
        <v>328</v>
      </c>
      <c r="B662">
        <v>1933</v>
      </c>
      <c r="C662" t="s">
        <v>1507</v>
      </c>
      <c r="D662" t="s">
        <v>187</v>
      </c>
      <c r="E662" t="s">
        <v>51</v>
      </c>
      <c r="F662" t="s">
        <v>1508</v>
      </c>
      <c r="G662" t="str">
        <f>"201406008460"</f>
        <v>201406008460</v>
      </c>
      <c r="H662">
        <v>748</v>
      </c>
      <c r="I662">
        <v>0</v>
      </c>
      <c r="J662">
        <v>0</v>
      </c>
      <c r="K662">
        <v>0</v>
      </c>
      <c r="L662">
        <v>200</v>
      </c>
      <c r="M662">
        <v>0</v>
      </c>
      <c r="N662">
        <v>70</v>
      </c>
      <c r="O662">
        <v>0</v>
      </c>
      <c r="P662">
        <v>50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0</v>
      </c>
      <c r="AB662">
        <v>1068</v>
      </c>
    </row>
    <row r="663" spans="1:28" x14ac:dyDescent="0.25">
      <c r="H663">
        <v>1009</v>
      </c>
    </row>
    <row r="664" spans="1:28" x14ac:dyDescent="0.25">
      <c r="A664">
        <v>329</v>
      </c>
      <c r="B664">
        <v>5338</v>
      </c>
      <c r="C664" t="s">
        <v>1509</v>
      </c>
      <c r="D664" t="s">
        <v>1102</v>
      </c>
      <c r="E664" t="s">
        <v>155</v>
      </c>
      <c r="F664" t="s">
        <v>1510</v>
      </c>
      <c r="G664" t="str">
        <f>"201412000044"</f>
        <v>201412000044</v>
      </c>
      <c r="H664" t="s">
        <v>1511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70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>
        <v>0</v>
      </c>
      <c r="AB664" t="s">
        <v>1512</v>
      </c>
    </row>
    <row r="665" spans="1:28" x14ac:dyDescent="0.25">
      <c r="H665">
        <v>1009</v>
      </c>
    </row>
    <row r="666" spans="1:28" x14ac:dyDescent="0.25">
      <c r="A666">
        <v>330</v>
      </c>
      <c r="B666">
        <v>2823</v>
      </c>
      <c r="C666" t="s">
        <v>1513</v>
      </c>
      <c r="D666" t="s">
        <v>345</v>
      </c>
      <c r="E666" t="s">
        <v>80</v>
      </c>
      <c r="F666" t="s">
        <v>1514</v>
      </c>
      <c r="G666" t="str">
        <f>"201304005991"</f>
        <v>201304005991</v>
      </c>
      <c r="H666" t="s">
        <v>972</v>
      </c>
      <c r="I666">
        <v>0</v>
      </c>
      <c r="J666">
        <v>0</v>
      </c>
      <c r="K666">
        <v>0</v>
      </c>
      <c r="L666">
        <v>200</v>
      </c>
      <c r="M666">
        <v>0</v>
      </c>
      <c r="N666">
        <v>70</v>
      </c>
      <c r="O666">
        <v>0</v>
      </c>
      <c r="P666">
        <v>0</v>
      </c>
      <c r="Q666">
        <v>30</v>
      </c>
      <c r="R666">
        <v>50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0</v>
      </c>
      <c r="Z666">
        <v>0</v>
      </c>
      <c r="AA666">
        <v>0</v>
      </c>
      <c r="AB666" t="s">
        <v>1515</v>
      </c>
    </row>
    <row r="667" spans="1:28" x14ac:dyDescent="0.25">
      <c r="H667">
        <v>1009</v>
      </c>
    </row>
    <row r="668" spans="1:28" x14ac:dyDescent="0.25">
      <c r="A668">
        <v>331</v>
      </c>
      <c r="B668">
        <v>4385</v>
      </c>
      <c r="C668" t="s">
        <v>1516</v>
      </c>
      <c r="D668" t="s">
        <v>1517</v>
      </c>
      <c r="E668" t="s">
        <v>1518</v>
      </c>
      <c r="F668" t="s">
        <v>1519</v>
      </c>
      <c r="G668" t="str">
        <f>"00003172"</f>
        <v>00003172</v>
      </c>
      <c r="H668" t="s">
        <v>214</v>
      </c>
      <c r="I668">
        <v>0</v>
      </c>
      <c r="J668">
        <v>0</v>
      </c>
      <c r="K668">
        <v>0</v>
      </c>
      <c r="L668">
        <v>200</v>
      </c>
      <c r="M668">
        <v>0</v>
      </c>
      <c r="N668">
        <v>70</v>
      </c>
      <c r="O668">
        <v>30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>
        <v>0</v>
      </c>
      <c r="AB668" t="s">
        <v>1520</v>
      </c>
    </row>
    <row r="669" spans="1:28" x14ac:dyDescent="0.25">
      <c r="H669" t="s">
        <v>1521</v>
      </c>
    </row>
    <row r="670" spans="1:28" x14ac:dyDescent="0.25">
      <c r="A670">
        <v>332</v>
      </c>
      <c r="B670">
        <v>1441</v>
      </c>
      <c r="C670" t="s">
        <v>1522</v>
      </c>
      <c r="D670" t="s">
        <v>271</v>
      </c>
      <c r="E670" t="s">
        <v>51</v>
      </c>
      <c r="F670" t="s">
        <v>1523</v>
      </c>
      <c r="G670" t="str">
        <f>"00111904"</f>
        <v>00111904</v>
      </c>
      <c r="H670" t="s">
        <v>753</v>
      </c>
      <c r="I670">
        <v>0</v>
      </c>
      <c r="J670">
        <v>0</v>
      </c>
      <c r="K670">
        <v>0</v>
      </c>
      <c r="L670">
        <v>200</v>
      </c>
      <c r="M670">
        <v>0</v>
      </c>
      <c r="N670">
        <v>70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0</v>
      </c>
      <c r="Z670">
        <v>0</v>
      </c>
      <c r="AA670">
        <v>0</v>
      </c>
      <c r="AB670" t="s">
        <v>1524</v>
      </c>
    </row>
    <row r="671" spans="1:28" x14ac:dyDescent="0.25">
      <c r="H671" t="s">
        <v>1525</v>
      </c>
    </row>
    <row r="672" spans="1:28" x14ac:dyDescent="0.25">
      <c r="A672">
        <v>333</v>
      </c>
      <c r="B672">
        <v>1285</v>
      </c>
      <c r="C672" t="s">
        <v>1526</v>
      </c>
      <c r="D672" t="s">
        <v>187</v>
      </c>
      <c r="E672" t="s">
        <v>14</v>
      </c>
      <c r="F672" t="s">
        <v>1527</v>
      </c>
      <c r="G672" t="str">
        <f>"200906000432"</f>
        <v>200906000432</v>
      </c>
      <c r="H672" t="s">
        <v>753</v>
      </c>
      <c r="I672">
        <v>0</v>
      </c>
      <c r="J672">
        <v>0</v>
      </c>
      <c r="K672">
        <v>0</v>
      </c>
      <c r="L672">
        <v>200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>
        <v>0</v>
      </c>
      <c r="AB672" t="s">
        <v>1524</v>
      </c>
    </row>
    <row r="673" spans="1:28" x14ac:dyDescent="0.25">
      <c r="H673" t="s">
        <v>1528</v>
      </c>
    </row>
    <row r="674" spans="1:28" x14ac:dyDescent="0.25">
      <c r="A674">
        <v>334</v>
      </c>
      <c r="B674">
        <v>3863</v>
      </c>
      <c r="C674" t="s">
        <v>1529</v>
      </c>
      <c r="D674" t="s">
        <v>1530</v>
      </c>
      <c r="E674" t="s">
        <v>930</v>
      </c>
      <c r="F674" t="s">
        <v>1531</v>
      </c>
      <c r="G674" t="str">
        <f>"00013659"</f>
        <v>00013659</v>
      </c>
      <c r="H674" t="s">
        <v>753</v>
      </c>
      <c r="I674">
        <v>0</v>
      </c>
      <c r="J674">
        <v>0</v>
      </c>
      <c r="K674">
        <v>0</v>
      </c>
      <c r="L674">
        <v>200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>
        <v>0</v>
      </c>
      <c r="AB674" t="s">
        <v>1524</v>
      </c>
    </row>
    <row r="675" spans="1:28" x14ac:dyDescent="0.25">
      <c r="H675" t="s">
        <v>1532</v>
      </c>
    </row>
    <row r="676" spans="1:28" x14ac:dyDescent="0.25">
      <c r="A676">
        <v>335</v>
      </c>
      <c r="B676">
        <v>1582</v>
      </c>
      <c r="C676" t="s">
        <v>1533</v>
      </c>
      <c r="D676" t="s">
        <v>155</v>
      </c>
      <c r="E676" t="s">
        <v>51</v>
      </c>
      <c r="F676" t="s">
        <v>1534</v>
      </c>
      <c r="G676" t="str">
        <f>"00114349"</f>
        <v>00114349</v>
      </c>
      <c r="H676" t="s">
        <v>1535</v>
      </c>
      <c r="I676">
        <v>150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0</v>
      </c>
      <c r="AB676" t="s">
        <v>1536</v>
      </c>
    </row>
    <row r="677" spans="1:28" x14ac:dyDescent="0.25">
      <c r="H677">
        <v>1009</v>
      </c>
    </row>
    <row r="678" spans="1:28" x14ac:dyDescent="0.25">
      <c r="A678">
        <v>336</v>
      </c>
      <c r="B678">
        <v>3360</v>
      </c>
      <c r="C678" t="s">
        <v>1537</v>
      </c>
      <c r="D678" t="s">
        <v>387</v>
      </c>
      <c r="E678" t="s">
        <v>1538</v>
      </c>
      <c r="F678" t="s">
        <v>1539</v>
      </c>
      <c r="G678" t="str">
        <f>"201406005527"</f>
        <v>201406005527</v>
      </c>
      <c r="H678" t="s">
        <v>1540</v>
      </c>
      <c r="I678">
        <v>0</v>
      </c>
      <c r="J678">
        <v>0</v>
      </c>
      <c r="K678">
        <v>0</v>
      </c>
      <c r="L678">
        <v>200</v>
      </c>
      <c r="M678">
        <v>0</v>
      </c>
      <c r="N678">
        <v>70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0</v>
      </c>
      <c r="AA678">
        <v>0</v>
      </c>
      <c r="AB678" t="s">
        <v>1541</v>
      </c>
    </row>
    <row r="679" spans="1:28" x14ac:dyDescent="0.25">
      <c r="H679" t="s">
        <v>1542</v>
      </c>
    </row>
    <row r="680" spans="1:28" x14ac:dyDescent="0.25">
      <c r="A680">
        <v>337</v>
      </c>
      <c r="B680">
        <v>1337</v>
      </c>
      <c r="C680" t="s">
        <v>1543</v>
      </c>
      <c r="D680" t="s">
        <v>20</v>
      </c>
      <c r="E680" t="s">
        <v>14</v>
      </c>
      <c r="F680" t="s">
        <v>1544</v>
      </c>
      <c r="G680" t="str">
        <f>"201304000792"</f>
        <v>201304000792</v>
      </c>
      <c r="H680" t="s">
        <v>670</v>
      </c>
      <c r="I680">
        <v>150</v>
      </c>
      <c r="J680">
        <v>0</v>
      </c>
      <c r="K680">
        <v>0</v>
      </c>
      <c r="L680">
        <v>200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>
        <v>0</v>
      </c>
      <c r="AB680" t="s">
        <v>1541</v>
      </c>
    </row>
    <row r="681" spans="1:28" x14ac:dyDescent="0.25">
      <c r="H681" t="s">
        <v>575</v>
      </c>
    </row>
    <row r="682" spans="1:28" x14ac:dyDescent="0.25">
      <c r="A682">
        <v>338</v>
      </c>
      <c r="B682">
        <v>869</v>
      </c>
      <c r="C682" t="s">
        <v>1545</v>
      </c>
      <c r="D682" t="s">
        <v>187</v>
      </c>
      <c r="E682" t="s">
        <v>20</v>
      </c>
      <c r="F682" t="s">
        <v>1546</v>
      </c>
      <c r="G682" t="str">
        <f>"00148011"</f>
        <v>00148011</v>
      </c>
      <c r="H682" t="s">
        <v>881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70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1</v>
      </c>
      <c r="Y682">
        <v>0</v>
      </c>
      <c r="Z682">
        <v>10</v>
      </c>
      <c r="AA682">
        <v>170</v>
      </c>
      <c r="AB682" t="s">
        <v>1547</v>
      </c>
    </row>
    <row r="683" spans="1:28" x14ac:dyDescent="0.25">
      <c r="H683">
        <v>1009</v>
      </c>
    </row>
    <row r="684" spans="1:28" x14ac:dyDescent="0.25">
      <c r="A684">
        <v>339</v>
      </c>
      <c r="B684">
        <v>492</v>
      </c>
      <c r="C684" t="s">
        <v>1548</v>
      </c>
      <c r="D684" t="s">
        <v>1549</v>
      </c>
      <c r="E684" t="s">
        <v>14</v>
      </c>
      <c r="F684" t="s">
        <v>1550</v>
      </c>
      <c r="G684" t="str">
        <f>"201409002074"</f>
        <v>201409002074</v>
      </c>
      <c r="H684">
        <v>792</v>
      </c>
      <c r="I684">
        <v>0</v>
      </c>
      <c r="J684">
        <v>0</v>
      </c>
      <c r="K684">
        <v>0</v>
      </c>
      <c r="L684">
        <v>200</v>
      </c>
      <c r="M684">
        <v>0</v>
      </c>
      <c r="N684">
        <v>70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>
        <v>0</v>
      </c>
      <c r="Z684">
        <v>0</v>
      </c>
      <c r="AA684">
        <v>0</v>
      </c>
      <c r="AB684">
        <v>1062</v>
      </c>
    </row>
    <row r="685" spans="1:28" x14ac:dyDescent="0.25">
      <c r="H685" t="s">
        <v>1551</v>
      </c>
    </row>
    <row r="686" spans="1:28" x14ac:dyDescent="0.25">
      <c r="A686">
        <v>340</v>
      </c>
      <c r="B686">
        <v>291</v>
      </c>
      <c r="C686" t="s">
        <v>1552</v>
      </c>
      <c r="D686" t="s">
        <v>43</v>
      </c>
      <c r="E686" t="s">
        <v>218</v>
      </c>
      <c r="F686" t="s">
        <v>1553</v>
      </c>
      <c r="G686" t="str">
        <f>"201303000792"</f>
        <v>201303000792</v>
      </c>
      <c r="H686" t="s">
        <v>1554</v>
      </c>
      <c r="I686">
        <v>0</v>
      </c>
      <c r="J686">
        <v>0</v>
      </c>
      <c r="K686">
        <v>0</v>
      </c>
      <c r="L686">
        <v>200</v>
      </c>
      <c r="M686">
        <v>0</v>
      </c>
      <c r="N686">
        <v>70</v>
      </c>
      <c r="O686">
        <v>0</v>
      </c>
      <c r="P686">
        <v>30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>
        <v>0</v>
      </c>
      <c r="AB686" t="s">
        <v>1555</v>
      </c>
    </row>
    <row r="687" spans="1:28" x14ac:dyDescent="0.25">
      <c r="H687" t="s">
        <v>1556</v>
      </c>
    </row>
    <row r="688" spans="1:28" x14ac:dyDescent="0.25">
      <c r="A688">
        <v>341</v>
      </c>
      <c r="B688">
        <v>3697</v>
      </c>
      <c r="C688" t="s">
        <v>1557</v>
      </c>
      <c r="D688" t="s">
        <v>91</v>
      </c>
      <c r="E688" t="s">
        <v>1558</v>
      </c>
      <c r="F688" t="s">
        <v>1559</v>
      </c>
      <c r="G688" t="str">
        <f>"00121090"</f>
        <v>00121090</v>
      </c>
      <c r="H688" t="s">
        <v>608</v>
      </c>
      <c r="I688">
        <v>0</v>
      </c>
      <c r="J688">
        <v>0</v>
      </c>
      <c r="K688">
        <v>0</v>
      </c>
      <c r="L688">
        <v>200</v>
      </c>
      <c r="M688">
        <v>0</v>
      </c>
      <c r="N688">
        <v>70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>
        <v>0</v>
      </c>
      <c r="Z688">
        <v>0</v>
      </c>
      <c r="AA688">
        <v>0</v>
      </c>
      <c r="AB688" t="s">
        <v>1560</v>
      </c>
    </row>
    <row r="689" spans="1:28" x14ac:dyDescent="0.25">
      <c r="H689" t="s">
        <v>1561</v>
      </c>
    </row>
    <row r="690" spans="1:28" x14ac:dyDescent="0.25">
      <c r="A690">
        <v>342</v>
      </c>
      <c r="B690">
        <v>3813</v>
      </c>
      <c r="C690" t="s">
        <v>1562</v>
      </c>
      <c r="D690" t="s">
        <v>1563</v>
      </c>
      <c r="E690" t="s">
        <v>14</v>
      </c>
      <c r="F690" t="s">
        <v>1564</v>
      </c>
      <c r="G690" t="str">
        <f>"201406015944"</f>
        <v>201406015944</v>
      </c>
      <c r="H690" t="s">
        <v>377</v>
      </c>
      <c r="I690">
        <v>0</v>
      </c>
      <c r="J690">
        <v>0</v>
      </c>
      <c r="K690">
        <v>0</v>
      </c>
      <c r="L690">
        <v>260</v>
      </c>
      <c r="M690">
        <v>0</v>
      </c>
      <c r="N690">
        <v>70</v>
      </c>
      <c r="O690">
        <v>30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>
        <v>0</v>
      </c>
      <c r="Z690">
        <v>0</v>
      </c>
      <c r="AA690">
        <v>0</v>
      </c>
      <c r="AB690" t="s">
        <v>1565</v>
      </c>
    </row>
    <row r="691" spans="1:28" x14ac:dyDescent="0.25">
      <c r="H691" t="s">
        <v>1566</v>
      </c>
    </row>
    <row r="692" spans="1:28" x14ac:dyDescent="0.25">
      <c r="A692">
        <v>343</v>
      </c>
      <c r="B692">
        <v>4700</v>
      </c>
      <c r="C692" t="s">
        <v>1567</v>
      </c>
      <c r="D692" t="s">
        <v>807</v>
      </c>
      <c r="E692" t="s">
        <v>44</v>
      </c>
      <c r="F692" t="s">
        <v>1568</v>
      </c>
      <c r="G692" t="str">
        <f>"201406019004"</f>
        <v>201406019004</v>
      </c>
      <c r="H692" t="s">
        <v>1569</v>
      </c>
      <c r="I692">
        <v>0</v>
      </c>
      <c r="J692">
        <v>0</v>
      </c>
      <c r="K692">
        <v>0</v>
      </c>
      <c r="L692">
        <v>0</v>
      </c>
      <c r="M692">
        <v>100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>
        <v>0</v>
      </c>
      <c r="AB692" t="s">
        <v>1570</v>
      </c>
    </row>
    <row r="693" spans="1:28" x14ac:dyDescent="0.25">
      <c r="H693">
        <v>1009</v>
      </c>
    </row>
    <row r="694" spans="1:28" x14ac:dyDescent="0.25">
      <c r="A694">
        <v>344</v>
      </c>
      <c r="B694">
        <v>4194</v>
      </c>
      <c r="C694" t="s">
        <v>1571</v>
      </c>
      <c r="D694" t="s">
        <v>138</v>
      </c>
      <c r="E694" t="s">
        <v>14</v>
      </c>
      <c r="F694" t="s">
        <v>1572</v>
      </c>
      <c r="G694" t="str">
        <f>"201405000260"</f>
        <v>201405000260</v>
      </c>
      <c r="H694" t="s">
        <v>981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30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9</v>
      </c>
      <c r="AA694">
        <v>153</v>
      </c>
      <c r="AB694" t="s">
        <v>1573</v>
      </c>
    </row>
    <row r="695" spans="1:28" x14ac:dyDescent="0.25">
      <c r="H695" t="s">
        <v>1574</v>
      </c>
    </row>
    <row r="696" spans="1:28" x14ac:dyDescent="0.25">
      <c r="A696">
        <v>345</v>
      </c>
      <c r="B696">
        <v>3806</v>
      </c>
      <c r="C696" t="s">
        <v>1575</v>
      </c>
      <c r="D696" t="s">
        <v>1576</v>
      </c>
      <c r="E696" t="s">
        <v>15</v>
      </c>
      <c r="F696" t="s">
        <v>1577</v>
      </c>
      <c r="G696" t="str">
        <f>"200802006698"</f>
        <v>200802006698</v>
      </c>
      <c r="H696" t="s">
        <v>208</v>
      </c>
      <c r="I696">
        <v>150</v>
      </c>
      <c r="J696">
        <v>0</v>
      </c>
      <c r="K696">
        <v>0</v>
      </c>
      <c r="L696">
        <v>0</v>
      </c>
      <c r="M696">
        <v>100</v>
      </c>
      <c r="N696">
        <v>70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0</v>
      </c>
      <c r="Z696">
        <v>0</v>
      </c>
      <c r="AA696">
        <v>0</v>
      </c>
      <c r="AB696" t="s">
        <v>1578</v>
      </c>
    </row>
    <row r="697" spans="1:28" x14ac:dyDescent="0.25">
      <c r="H697" t="s">
        <v>1579</v>
      </c>
    </row>
    <row r="698" spans="1:28" x14ac:dyDescent="0.25">
      <c r="A698">
        <v>346</v>
      </c>
      <c r="B698">
        <v>1619</v>
      </c>
      <c r="C698" t="s">
        <v>1580</v>
      </c>
      <c r="D698" t="s">
        <v>1581</v>
      </c>
      <c r="E698" t="s">
        <v>80</v>
      </c>
      <c r="F698" t="s">
        <v>1582</v>
      </c>
      <c r="G698" t="str">
        <f>"201304003776"</f>
        <v>201304003776</v>
      </c>
      <c r="H698" t="s">
        <v>150</v>
      </c>
      <c r="I698">
        <v>0</v>
      </c>
      <c r="J698">
        <v>0</v>
      </c>
      <c r="K698">
        <v>0</v>
      </c>
      <c r="L698">
        <v>200</v>
      </c>
      <c r="M698">
        <v>0</v>
      </c>
      <c r="N698">
        <v>70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>
        <v>0</v>
      </c>
      <c r="AB698" t="s">
        <v>1583</v>
      </c>
    </row>
    <row r="699" spans="1:28" x14ac:dyDescent="0.25">
      <c r="H699" t="s">
        <v>1584</v>
      </c>
    </row>
    <row r="700" spans="1:28" x14ac:dyDescent="0.25">
      <c r="A700">
        <v>347</v>
      </c>
      <c r="B700">
        <v>3604</v>
      </c>
      <c r="C700" t="s">
        <v>1585</v>
      </c>
      <c r="D700" t="s">
        <v>14</v>
      </c>
      <c r="E700" t="s">
        <v>411</v>
      </c>
      <c r="F700" t="s">
        <v>1586</v>
      </c>
      <c r="G700" t="str">
        <f>"00354204"</f>
        <v>00354204</v>
      </c>
      <c r="H700" t="s">
        <v>1587</v>
      </c>
      <c r="I700">
        <v>0</v>
      </c>
      <c r="J700">
        <v>0</v>
      </c>
      <c r="K700">
        <v>0</v>
      </c>
      <c r="L700">
        <v>200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1</v>
      </c>
      <c r="Y700">
        <v>0</v>
      </c>
      <c r="Z700">
        <v>0</v>
      </c>
      <c r="AA700">
        <v>0</v>
      </c>
      <c r="AB700" t="s">
        <v>1588</v>
      </c>
    </row>
    <row r="701" spans="1:28" x14ac:dyDescent="0.25">
      <c r="H701" t="s">
        <v>1589</v>
      </c>
    </row>
    <row r="702" spans="1:28" x14ac:dyDescent="0.25">
      <c r="A702">
        <v>348</v>
      </c>
      <c r="B702">
        <v>5217</v>
      </c>
      <c r="C702" t="s">
        <v>1590</v>
      </c>
      <c r="D702" t="s">
        <v>80</v>
      </c>
      <c r="E702" t="s">
        <v>14</v>
      </c>
      <c r="F702" t="s">
        <v>1591</v>
      </c>
      <c r="G702" t="str">
        <f>"201304004815"</f>
        <v>201304004815</v>
      </c>
      <c r="H702" t="s">
        <v>1592</v>
      </c>
      <c r="I702">
        <v>0</v>
      </c>
      <c r="J702">
        <v>0</v>
      </c>
      <c r="K702">
        <v>0</v>
      </c>
      <c r="L702">
        <v>260</v>
      </c>
      <c r="M702">
        <v>0</v>
      </c>
      <c r="N702">
        <v>70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>
        <v>0</v>
      </c>
      <c r="AB702" t="s">
        <v>1593</v>
      </c>
    </row>
    <row r="703" spans="1:28" x14ac:dyDescent="0.25">
      <c r="H703" t="s">
        <v>1594</v>
      </c>
    </row>
    <row r="704" spans="1:28" x14ac:dyDescent="0.25">
      <c r="A704">
        <v>349</v>
      </c>
      <c r="B704">
        <v>3453</v>
      </c>
      <c r="C704" t="s">
        <v>1595</v>
      </c>
      <c r="D704" t="s">
        <v>84</v>
      </c>
      <c r="E704" t="s">
        <v>1596</v>
      </c>
      <c r="F704" t="s">
        <v>1597</v>
      </c>
      <c r="G704" t="str">
        <f>"201304001468"</f>
        <v>201304001468</v>
      </c>
      <c r="H704" t="s">
        <v>1592</v>
      </c>
      <c r="I704">
        <v>0</v>
      </c>
      <c r="J704">
        <v>0</v>
      </c>
      <c r="K704">
        <v>0</v>
      </c>
      <c r="L704">
        <v>260</v>
      </c>
      <c r="M704">
        <v>0</v>
      </c>
      <c r="N704">
        <v>70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0</v>
      </c>
      <c r="AA704">
        <v>0</v>
      </c>
      <c r="AB704" t="s">
        <v>1593</v>
      </c>
    </row>
    <row r="705" spans="1:28" x14ac:dyDescent="0.25">
      <c r="H705" t="s">
        <v>1598</v>
      </c>
    </row>
    <row r="706" spans="1:28" x14ac:dyDescent="0.25">
      <c r="A706">
        <v>350</v>
      </c>
      <c r="B706">
        <v>4594</v>
      </c>
      <c r="C706" t="s">
        <v>1599</v>
      </c>
      <c r="D706" t="s">
        <v>387</v>
      </c>
      <c r="E706" t="s">
        <v>154</v>
      </c>
      <c r="F706" t="s">
        <v>1600</v>
      </c>
      <c r="G706" t="str">
        <f>"200712004163"</f>
        <v>200712004163</v>
      </c>
      <c r="H706">
        <v>737</v>
      </c>
      <c r="I706">
        <v>0</v>
      </c>
      <c r="J706">
        <v>0</v>
      </c>
      <c r="K706">
        <v>0</v>
      </c>
      <c r="L706">
        <v>200</v>
      </c>
      <c r="M706">
        <v>0</v>
      </c>
      <c r="N706">
        <v>70</v>
      </c>
      <c r="O706">
        <v>0</v>
      </c>
      <c r="P706">
        <v>0</v>
      </c>
      <c r="Q706">
        <v>50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>
        <v>0</v>
      </c>
      <c r="AB706">
        <v>1057</v>
      </c>
    </row>
    <row r="707" spans="1:28" x14ac:dyDescent="0.25">
      <c r="H707" t="s">
        <v>1013</v>
      </c>
    </row>
    <row r="708" spans="1:28" x14ac:dyDescent="0.25">
      <c r="A708">
        <v>351</v>
      </c>
      <c r="B708">
        <v>4267</v>
      </c>
      <c r="C708" t="s">
        <v>1601</v>
      </c>
      <c r="D708" t="s">
        <v>51</v>
      </c>
      <c r="E708" t="s">
        <v>14</v>
      </c>
      <c r="F708" t="s">
        <v>1602</v>
      </c>
      <c r="G708" t="str">
        <f>"201409006038"</f>
        <v>201409006038</v>
      </c>
      <c r="H708" t="s">
        <v>1603</v>
      </c>
      <c r="I708">
        <v>0</v>
      </c>
      <c r="J708">
        <v>0</v>
      </c>
      <c r="K708">
        <v>0</v>
      </c>
      <c r="L708">
        <v>200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>
        <v>0</v>
      </c>
      <c r="AB708" t="s">
        <v>1604</v>
      </c>
    </row>
    <row r="709" spans="1:28" x14ac:dyDescent="0.25">
      <c r="H709" t="s">
        <v>1605</v>
      </c>
    </row>
    <row r="710" spans="1:28" x14ac:dyDescent="0.25">
      <c r="A710">
        <v>352</v>
      </c>
      <c r="B710">
        <v>950</v>
      </c>
      <c r="C710" t="s">
        <v>1606</v>
      </c>
      <c r="D710" t="s">
        <v>1607</v>
      </c>
      <c r="E710" t="s">
        <v>14</v>
      </c>
      <c r="F710" t="s">
        <v>1608</v>
      </c>
      <c r="G710" t="str">
        <f>"201304003243"</f>
        <v>201304003243</v>
      </c>
      <c r="H710" t="s">
        <v>583</v>
      </c>
      <c r="I710">
        <v>0</v>
      </c>
      <c r="J710">
        <v>0</v>
      </c>
      <c r="K710">
        <v>0</v>
      </c>
      <c r="L710">
        <v>200</v>
      </c>
      <c r="M710">
        <v>0</v>
      </c>
      <c r="N710">
        <v>70</v>
      </c>
      <c r="O710">
        <v>30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>
        <v>0</v>
      </c>
      <c r="AB710" t="s">
        <v>1609</v>
      </c>
    </row>
    <row r="711" spans="1:28" x14ac:dyDescent="0.25">
      <c r="H711" t="s">
        <v>152</v>
      </c>
    </row>
    <row r="712" spans="1:28" x14ac:dyDescent="0.25">
      <c r="A712">
        <v>353</v>
      </c>
      <c r="B712">
        <v>4813</v>
      </c>
      <c r="C712" t="s">
        <v>1610</v>
      </c>
      <c r="D712" t="s">
        <v>1611</v>
      </c>
      <c r="E712" t="s">
        <v>51</v>
      </c>
      <c r="F712" t="s">
        <v>1612</v>
      </c>
      <c r="G712" t="str">
        <f>"00039694"</f>
        <v>00039694</v>
      </c>
      <c r="H712" t="s">
        <v>294</v>
      </c>
      <c r="I712">
        <v>150</v>
      </c>
      <c r="J712">
        <v>0</v>
      </c>
      <c r="K712">
        <v>0</v>
      </c>
      <c r="L712">
        <v>0</v>
      </c>
      <c r="M712">
        <v>100</v>
      </c>
      <c r="N712">
        <v>70</v>
      </c>
      <c r="O712">
        <v>70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>
        <v>0</v>
      </c>
      <c r="AB712" t="s">
        <v>1613</v>
      </c>
    </row>
    <row r="713" spans="1:28" x14ac:dyDescent="0.25">
      <c r="H713" t="s">
        <v>1013</v>
      </c>
    </row>
    <row r="714" spans="1:28" x14ac:dyDescent="0.25">
      <c r="A714">
        <v>354</v>
      </c>
      <c r="B714">
        <v>4792</v>
      </c>
      <c r="C714" t="s">
        <v>1614</v>
      </c>
      <c r="D714" t="s">
        <v>1309</v>
      </c>
      <c r="E714" t="s">
        <v>14</v>
      </c>
      <c r="F714" t="s">
        <v>1615</v>
      </c>
      <c r="G714" t="str">
        <f>"201406005326"</f>
        <v>201406005326</v>
      </c>
      <c r="H714" t="s">
        <v>1400</v>
      </c>
      <c r="I714">
        <v>0</v>
      </c>
      <c r="J714">
        <v>0</v>
      </c>
      <c r="K714">
        <v>0</v>
      </c>
      <c r="L714">
        <v>200</v>
      </c>
      <c r="M714">
        <v>0</v>
      </c>
      <c r="N714">
        <v>70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>
        <v>0</v>
      </c>
      <c r="AB714" t="s">
        <v>1616</v>
      </c>
    </row>
    <row r="715" spans="1:28" x14ac:dyDescent="0.25">
      <c r="H715" t="s">
        <v>1617</v>
      </c>
    </row>
    <row r="716" spans="1:28" x14ac:dyDescent="0.25">
      <c r="A716">
        <v>355</v>
      </c>
      <c r="B716">
        <v>486</v>
      </c>
      <c r="C716" t="s">
        <v>1618</v>
      </c>
      <c r="D716" t="s">
        <v>1619</v>
      </c>
      <c r="E716" t="s">
        <v>1620</v>
      </c>
      <c r="F716" t="s">
        <v>1621</v>
      </c>
      <c r="G716" t="str">
        <f>"00220384"</f>
        <v>00220384</v>
      </c>
      <c r="H716" t="s">
        <v>1400</v>
      </c>
      <c r="I716">
        <v>0</v>
      </c>
      <c r="J716">
        <v>0</v>
      </c>
      <c r="K716">
        <v>0</v>
      </c>
      <c r="L716">
        <v>200</v>
      </c>
      <c r="M716">
        <v>0</v>
      </c>
      <c r="N716">
        <v>70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>
        <v>0</v>
      </c>
      <c r="AB716" t="s">
        <v>1616</v>
      </c>
    </row>
    <row r="717" spans="1:28" x14ac:dyDescent="0.25">
      <c r="H717" t="s">
        <v>1622</v>
      </c>
    </row>
    <row r="718" spans="1:28" x14ac:dyDescent="0.25">
      <c r="A718">
        <v>356</v>
      </c>
      <c r="B718">
        <v>4010</v>
      </c>
      <c r="C718" t="s">
        <v>1623</v>
      </c>
      <c r="D718" t="s">
        <v>1017</v>
      </c>
      <c r="E718" t="s">
        <v>109</v>
      </c>
      <c r="F718" t="s">
        <v>1624</v>
      </c>
      <c r="G718" t="str">
        <f>"201601000771"</f>
        <v>201601000771</v>
      </c>
      <c r="H718" t="s">
        <v>1625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0</v>
      </c>
      <c r="AA718">
        <v>0</v>
      </c>
      <c r="AB718" t="s">
        <v>1626</v>
      </c>
    </row>
    <row r="719" spans="1:28" x14ac:dyDescent="0.25">
      <c r="H719">
        <v>1009</v>
      </c>
    </row>
    <row r="720" spans="1:28" x14ac:dyDescent="0.25">
      <c r="A720">
        <v>357</v>
      </c>
      <c r="B720">
        <v>5232</v>
      </c>
      <c r="C720" t="s">
        <v>1627</v>
      </c>
      <c r="D720" t="s">
        <v>154</v>
      </c>
      <c r="E720" t="s">
        <v>38</v>
      </c>
      <c r="F720" t="s">
        <v>1628</v>
      </c>
      <c r="G720" t="str">
        <f>"00243144"</f>
        <v>00243144</v>
      </c>
      <c r="H720" t="s">
        <v>898</v>
      </c>
      <c r="I720">
        <v>0</v>
      </c>
      <c r="J720">
        <v>0</v>
      </c>
      <c r="K720">
        <v>0</v>
      </c>
      <c r="L720">
        <v>200</v>
      </c>
      <c r="M720">
        <v>0</v>
      </c>
      <c r="N720">
        <v>70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>
        <v>0</v>
      </c>
      <c r="AB720" t="s">
        <v>1629</v>
      </c>
    </row>
    <row r="721" spans="1:28" x14ac:dyDescent="0.25">
      <c r="H721" t="s">
        <v>1630</v>
      </c>
    </row>
    <row r="722" spans="1:28" x14ac:dyDescent="0.25">
      <c r="A722">
        <v>358</v>
      </c>
      <c r="B722">
        <v>1880</v>
      </c>
      <c r="C722" t="s">
        <v>1631</v>
      </c>
      <c r="D722" t="s">
        <v>19</v>
      </c>
      <c r="E722" t="s">
        <v>1632</v>
      </c>
      <c r="F722" t="s">
        <v>1633</v>
      </c>
      <c r="G722" t="str">
        <f>"00319396"</f>
        <v>00319396</v>
      </c>
      <c r="H722">
        <v>924</v>
      </c>
      <c r="I722">
        <v>0</v>
      </c>
      <c r="J722">
        <v>0</v>
      </c>
      <c r="K722">
        <v>0</v>
      </c>
      <c r="L722">
        <v>0</v>
      </c>
      <c r="M722">
        <v>100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0</v>
      </c>
      <c r="Z722">
        <v>0</v>
      </c>
      <c r="AA722">
        <v>0</v>
      </c>
      <c r="AB722">
        <v>1054</v>
      </c>
    </row>
    <row r="723" spans="1:28" x14ac:dyDescent="0.25">
      <c r="H723">
        <v>1009</v>
      </c>
    </row>
    <row r="724" spans="1:28" x14ac:dyDescent="0.25">
      <c r="A724">
        <v>359</v>
      </c>
      <c r="B724">
        <v>2813</v>
      </c>
      <c r="C724" t="s">
        <v>1634</v>
      </c>
      <c r="D724" t="s">
        <v>311</v>
      </c>
      <c r="E724" t="s">
        <v>44</v>
      </c>
      <c r="F724" t="s">
        <v>1635</v>
      </c>
      <c r="G724" t="str">
        <f>"201410008193"</f>
        <v>201410008193</v>
      </c>
      <c r="H724" t="s">
        <v>712</v>
      </c>
      <c r="I724">
        <v>0</v>
      </c>
      <c r="J724">
        <v>0</v>
      </c>
      <c r="K724">
        <v>0</v>
      </c>
      <c r="L724">
        <v>200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>
        <v>0</v>
      </c>
      <c r="AB724" t="s">
        <v>1636</v>
      </c>
    </row>
    <row r="725" spans="1:28" x14ac:dyDescent="0.25">
      <c r="H725" t="s">
        <v>1637</v>
      </c>
    </row>
    <row r="726" spans="1:28" x14ac:dyDescent="0.25">
      <c r="A726">
        <v>360</v>
      </c>
      <c r="B726">
        <v>3396</v>
      </c>
      <c r="C726" t="s">
        <v>1638</v>
      </c>
      <c r="D726" t="s">
        <v>1530</v>
      </c>
      <c r="E726" t="s">
        <v>1152</v>
      </c>
      <c r="F726" t="s">
        <v>1639</v>
      </c>
      <c r="G726" t="str">
        <f>"201406009784"</f>
        <v>201406009784</v>
      </c>
      <c r="H726" t="s">
        <v>226</v>
      </c>
      <c r="I726">
        <v>0</v>
      </c>
      <c r="J726">
        <v>0</v>
      </c>
      <c r="K726">
        <v>0</v>
      </c>
      <c r="L726">
        <v>200</v>
      </c>
      <c r="M726">
        <v>0</v>
      </c>
      <c r="N726">
        <v>70</v>
      </c>
      <c r="O726">
        <v>0</v>
      </c>
      <c r="P726">
        <v>50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>
        <v>0</v>
      </c>
      <c r="AB726" t="s">
        <v>1640</v>
      </c>
    </row>
    <row r="727" spans="1:28" x14ac:dyDescent="0.25">
      <c r="H727" t="s">
        <v>1641</v>
      </c>
    </row>
    <row r="728" spans="1:28" x14ac:dyDescent="0.25">
      <c r="A728">
        <v>361</v>
      </c>
      <c r="B728">
        <v>2148</v>
      </c>
      <c r="C728" t="s">
        <v>1642</v>
      </c>
      <c r="D728" t="s">
        <v>1576</v>
      </c>
      <c r="E728" t="s">
        <v>218</v>
      </c>
      <c r="F728" t="s">
        <v>1643</v>
      </c>
      <c r="G728" t="str">
        <f>"00117729"</f>
        <v>00117729</v>
      </c>
      <c r="H728" t="s">
        <v>771</v>
      </c>
      <c r="I728">
        <v>150</v>
      </c>
      <c r="J728">
        <v>0</v>
      </c>
      <c r="K728">
        <v>0</v>
      </c>
      <c r="L728">
        <v>0</v>
      </c>
      <c r="M728">
        <v>0</v>
      </c>
      <c r="N728">
        <v>50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>
        <v>0</v>
      </c>
      <c r="Z728">
        <v>0</v>
      </c>
      <c r="AA728">
        <v>0</v>
      </c>
      <c r="AB728" t="s">
        <v>1644</v>
      </c>
    </row>
    <row r="729" spans="1:28" x14ac:dyDescent="0.25">
      <c r="H729" t="s">
        <v>1645</v>
      </c>
    </row>
    <row r="730" spans="1:28" x14ac:dyDescent="0.25">
      <c r="A730">
        <v>362</v>
      </c>
      <c r="B730">
        <v>5183</v>
      </c>
      <c r="C730" t="s">
        <v>1646</v>
      </c>
      <c r="D730" t="s">
        <v>20</v>
      </c>
      <c r="E730" t="s">
        <v>14</v>
      </c>
      <c r="F730" t="s">
        <v>1647</v>
      </c>
      <c r="G730" t="str">
        <f>"201304005862"</f>
        <v>201304005862</v>
      </c>
      <c r="H730" t="s">
        <v>1648</v>
      </c>
      <c r="I730">
        <v>0</v>
      </c>
      <c r="J730">
        <v>0</v>
      </c>
      <c r="K730">
        <v>0</v>
      </c>
      <c r="L730">
        <v>200</v>
      </c>
      <c r="M730">
        <v>0</v>
      </c>
      <c r="N730">
        <v>70</v>
      </c>
      <c r="O730">
        <v>30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>
        <v>0</v>
      </c>
      <c r="Z730">
        <v>0</v>
      </c>
      <c r="AA730">
        <v>0</v>
      </c>
      <c r="AB730" t="s">
        <v>1649</v>
      </c>
    </row>
    <row r="731" spans="1:28" x14ac:dyDescent="0.25">
      <c r="H731" t="s">
        <v>1650</v>
      </c>
    </row>
    <row r="732" spans="1:28" x14ac:dyDescent="0.25">
      <c r="A732">
        <v>363</v>
      </c>
      <c r="B732">
        <v>581</v>
      </c>
      <c r="C732" t="s">
        <v>1651</v>
      </c>
      <c r="D732" t="s">
        <v>1010</v>
      </c>
      <c r="E732" t="s">
        <v>1652</v>
      </c>
      <c r="F732" t="s">
        <v>1653</v>
      </c>
      <c r="G732" t="str">
        <f>"201304004444"</f>
        <v>201304004444</v>
      </c>
      <c r="H732" t="s">
        <v>1648</v>
      </c>
      <c r="I732">
        <v>0</v>
      </c>
      <c r="J732">
        <v>0</v>
      </c>
      <c r="K732">
        <v>0</v>
      </c>
      <c r="L732">
        <v>200</v>
      </c>
      <c r="M732">
        <v>0</v>
      </c>
      <c r="N732">
        <v>70</v>
      </c>
      <c r="O732">
        <v>30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>
        <v>0</v>
      </c>
      <c r="Z732">
        <v>0</v>
      </c>
      <c r="AA732">
        <v>0</v>
      </c>
      <c r="AB732" t="s">
        <v>1649</v>
      </c>
    </row>
    <row r="733" spans="1:28" x14ac:dyDescent="0.25">
      <c r="H733" t="s">
        <v>1654</v>
      </c>
    </row>
    <row r="734" spans="1:28" x14ac:dyDescent="0.25">
      <c r="A734">
        <v>364</v>
      </c>
      <c r="B734">
        <v>610</v>
      </c>
      <c r="C734" t="s">
        <v>1655</v>
      </c>
      <c r="D734" t="s">
        <v>1010</v>
      </c>
      <c r="E734" t="s">
        <v>155</v>
      </c>
      <c r="F734" t="s">
        <v>1656</v>
      </c>
      <c r="G734" t="str">
        <f>"00136993"</f>
        <v>00136993</v>
      </c>
      <c r="H734" t="s">
        <v>267</v>
      </c>
      <c r="I734">
        <v>0</v>
      </c>
      <c r="J734">
        <v>0</v>
      </c>
      <c r="K734">
        <v>0</v>
      </c>
      <c r="L734">
        <v>200</v>
      </c>
      <c r="M734">
        <v>30</v>
      </c>
      <c r="N734">
        <v>70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>
        <v>0</v>
      </c>
      <c r="Z734">
        <v>0</v>
      </c>
      <c r="AA734">
        <v>0</v>
      </c>
      <c r="AB734" t="s">
        <v>1657</v>
      </c>
    </row>
    <row r="735" spans="1:28" x14ac:dyDescent="0.25">
      <c r="H735" t="s">
        <v>739</v>
      </c>
    </row>
    <row r="736" spans="1:28" x14ac:dyDescent="0.25">
      <c r="A736">
        <v>365</v>
      </c>
      <c r="B736">
        <v>2297</v>
      </c>
      <c r="C736" t="s">
        <v>1658</v>
      </c>
      <c r="D736" t="s">
        <v>51</v>
      </c>
      <c r="E736" t="s">
        <v>14</v>
      </c>
      <c r="F736" t="s">
        <v>1659</v>
      </c>
      <c r="G736" t="str">
        <f>"201511014601"</f>
        <v>201511014601</v>
      </c>
      <c r="H736">
        <v>770</v>
      </c>
      <c r="I736">
        <v>0</v>
      </c>
      <c r="J736">
        <v>0</v>
      </c>
      <c r="K736">
        <v>0</v>
      </c>
      <c r="L736">
        <v>200</v>
      </c>
      <c r="M736">
        <v>0</v>
      </c>
      <c r="N736">
        <v>30</v>
      </c>
      <c r="O736">
        <v>50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>
        <v>0</v>
      </c>
      <c r="Z736">
        <v>0</v>
      </c>
      <c r="AA736">
        <v>0</v>
      </c>
      <c r="AB736">
        <v>1050</v>
      </c>
    </row>
    <row r="737" spans="1:28" x14ac:dyDescent="0.25">
      <c r="H737" t="s">
        <v>1660</v>
      </c>
    </row>
    <row r="738" spans="1:28" x14ac:dyDescent="0.25">
      <c r="A738">
        <v>366</v>
      </c>
      <c r="B738">
        <v>567</v>
      </c>
      <c r="C738" t="s">
        <v>1661</v>
      </c>
      <c r="D738" t="s">
        <v>80</v>
      </c>
      <c r="E738" t="s">
        <v>20</v>
      </c>
      <c r="F738" t="s">
        <v>1662</v>
      </c>
      <c r="G738" t="str">
        <f>"201304002141"</f>
        <v>201304002141</v>
      </c>
      <c r="H738" t="s">
        <v>521</v>
      </c>
      <c r="I738">
        <v>0</v>
      </c>
      <c r="J738">
        <v>0</v>
      </c>
      <c r="K738">
        <v>0</v>
      </c>
      <c r="L738">
        <v>200</v>
      </c>
      <c r="M738">
        <v>0</v>
      </c>
      <c r="N738">
        <v>70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>
        <v>0</v>
      </c>
      <c r="AB738" t="s">
        <v>1663</v>
      </c>
    </row>
    <row r="739" spans="1:28" x14ac:dyDescent="0.25">
      <c r="H739" t="s">
        <v>1664</v>
      </c>
    </row>
    <row r="740" spans="1:28" x14ac:dyDescent="0.25">
      <c r="A740">
        <v>367</v>
      </c>
      <c r="B740">
        <v>635</v>
      </c>
      <c r="C740" t="s">
        <v>1665</v>
      </c>
      <c r="D740" t="s">
        <v>1148</v>
      </c>
      <c r="E740" t="s">
        <v>51</v>
      </c>
      <c r="F740" t="s">
        <v>1666</v>
      </c>
      <c r="G740" t="str">
        <f>"201402005171"</f>
        <v>201402005171</v>
      </c>
      <c r="H740" t="s">
        <v>521</v>
      </c>
      <c r="I740">
        <v>0</v>
      </c>
      <c r="J740">
        <v>0</v>
      </c>
      <c r="K740">
        <v>0</v>
      </c>
      <c r="L740">
        <v>200</v>
      </c>
      <c r="M740">
        <v>0</v>
      </c>
      <c r="N740">
        <v>70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>
        <v>0</v>
      </c>
      <c r="Z740">
        <v>0</v>
      </c>
      <c r="AA740">
        <v>0</v>
      </c>
      <c r="AB740" t="s">
        <v>1663</v>
      </c>
    </row>
    <row r="741" spans="1:28" x14ac:dyDescent="0.25">
      <c r="H741" t="s">
        <v>432</v>
      </c>
    </row>
    <row r="742" spans="1:28" x14ac:dyDescent="0.25">
      <c r="A742">
        <v>368</v>
      </c>
      <c r="B742">
        <v>3702</v>
      </c>
      <c r="C742" t="s">
        <v>1667</v>
      </c>
      <c r="D742" t="s">
        <v>247</v>
      </c>
      <c r="E742" t="s">
        <v>50</v>
      </c>
      <c r="F742" t="s">
        <v>1668</v>
      </c>
      <c r="G742" t="str">
        <f>"201504001896"</f>
        <v>201504001896</v>
      </c>
      <c r="H742" t="s">
        <v>1669</v>
      </c>
      <c r="I742">
        <v>0</v>
      </c>
      <c r="J742">
        <v>0</v>
      </c>
      <c r="K742">
        <v>0</v>
      </c>
      <c r="L742">
        <v>0</v>
      </c>
      <c r="M742">
        <v>100</v>
      </c>
      <c r="N742">
        <v>70</v>
      </c>
      <c r="O742">
        <v>30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>
        <v>0</v>
      </c>
      <c r="AB742" t="s">
        <v>1670</v>
      </c>
    </row>
    <row r="743" spans="1:28" x14ac:dyDescent="0.25">
      <c r="H743" t="s">
        <v>739</v>
      </c>
    </row>
    <row r="744" spans="1:28" x14ac:dyDescent="0.25">
      <c r="A744">
        <v>369</v>
      </c>
      <c r="B744">
        <v>1598</v>
      </c>
      <c r="C744" t="s">
        <v>1671</v>
      </c>
      <c r="D744" t="s">
        <v>366</v>
      </c>
      <c r="E744" t="s">
        <v>32</v>
      </c>
      <c r="F744" t="s">
        <v>1672</v>
      </c>
      <c r="G744" t="str">
        <f>"201405000534"</f>
        <v>201405000534</v>
      </c>
      <c r="H744" t="s">
        <v>175</v>
      </c>
      <c r="I744">
        <v>0</v>
      </c>
      <c r="J744">
        <v>0</v>
      </c>
      <c r="K744">
        <v>0</v>
      </c>
      <c r="L744">
        <v>200</v>
      </c>
      <c r="M744">
        <v>0</v>
      </c>
      <c r="N744">
        <v>70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>
        <v>0</v>
      </c>
      <c r="AB744" t="s">
        <v>1673</v>
      </c>
    </row>
    <row r="745" spans="1:28" x14ac:dyDescent="0.25">
      <c r="H745" t="s">
        <v>1551</v>
      </c>
    </row>
    <row r="746" spans="1:28" x14ac:dyDescent="0.25">
      <c r="A746">
        <v>370</v>
      </c>
      <c r="B746">
        <v>5012</v>
      </c>
      <c r="C746" t="s">
        <v>1674</v>
      </c>
      <c r="D746" t="s">
        <v>471</v>
      </c>
      <c r="E746" t="s">
        <v>38</v>
      </c>
      <c r="F746" t="s">
        <v>1675</v>
      </c>
      <c r="G746" t="str">
        <f>"200712002262"</f>
        <v>200712002262</v>
      </c>
      <c r="H746" t="s">
        <v>1676</v>
      </c>
      <c r="I746">
        <v>0</v>
      </c>
      <c r="J746">
        <v>0</v>
      </c>
      <c r="K746">
        <v>0</v>
      </c>
      <c r="L746">
        <v>200</v>
      </c>
      <c r="M746">
        <v>0</v>
      </c>
      <c r="N746">
        <v>70</v>
      </c>
      <c r="O746">
        <v>50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0</v>
      </c>
      <c r="AA746">
        <v>0</v>
      </c>
      <c r="AB746" t="s">
        <v>1677</v>
      </c>
    </row>
    <row r="747" spans="1:28" x14ac:dyDescent="0.25">
      <c r="H747" t="s">
        <v>1678</v>
      </c>
    </row>
    <row r="748" spans="1:28" x14ac:dyDescent="0.25">
      <c r="A748">
        <v>371</v>
      </c>
      <c r="B748">
        <v>1363</v>
      </c>
      <c r="C748" t="s">
        <v>1679</v>
      </c>
      <c r="D748" t="s">
        <v>1680</v>
      </c>
      <c r="E748" t="s">
        <v>14</v>
      </c>
      <c r="F748" t="s">
        <v>1681</v>
      </c>
      <c r="G748" t="str">
        <f>"201503000391"</f>
        <v>201503000391</v>
      </c>
      <c r="H748">
        <v>726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50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16</v>
      </c>
      <c r="AA748">
        <v>272</v>
      </c>
      <c r="AB748">
        <v>1048</v>
      </c>
    </row>
    <row r="749" spans="1:28" x14ac:dyDescent="0.25">
      <c r="H749" t="s">
        <v>1682</v>
      </c>
    </row>
    <row r="750" spans="1:28" x14ac:dyDescent="0.25">
      <c r="A750">
        <v>372</v>
      </c>
      <c r="B750">
        <v>5235</v>
      </c>
      <c r="C750" t="s">
        <v>1683</v>
      </c>
      <c r="D750" t="s">
        <v>1684</v>
      </c>
      <c r="E750" t="s">
        <v>38</v>
      </c>
      <c r="F750" t="s">
        <v>1685</v>
      </c>
      <c r="G750" t="str">
        <f>"201507000061"</f>
        <v>201507000061</v>
      </c>
      <c r="H750" t="s">
        <v>1554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15</v>
      </c>
      <c r="AA750">
        <v>255</v>
      </c>
      <c r="AB750" t="s">
        <v>1686</v>
      </c>
    </row>
    <row r="751" spans="1:28" x14ac:dyDescent="0.25">
      <c r="H751" t="s">
        <v>1687</v>
      </c>
    </row>
    <row r="752" spans="1:28" x14ac:dyDescent="0.25">
      <c r="A752">
        <v>373</v>
      </c>
      <c r="B752">
        <v>1768</v>
      </c>
      <c r="C752" t="s">
        <v>1688</v>
      </c>
      <c r="D752" t="s">
        <v>14</v>
      </c>
      <c r="E752" t="s">
        <v>38</v>
      </c>
      <c r="F752" t="s">
        <v>1689</v>
      </c>
      <c r="G752" t="str">
        <f>"201103000015"</f>
        <v>201103000015</v>
      </c>
      <c r="H752" t="s">
        <v>994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70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>
        <v>0</v>
      </c>
      <c r="AB752" t="s">
        <v>1690</v>
      </c>
    </row>
    <row r="753" spans="1:28" x14ac:dyDescent="0.25">
      <c r="H753" t="s">
        <v>60</v>
      </c>
    </row>
    <row r="754" spans="1:28" x14ac:dyDescent="0.25">
      <c r="A754">
        <v>374</v>
      </c>
      <c r="B754">
        <v>2602</v>
      </c>
      <c r="C754" t="s">
        <v>1691</v>
      </c>
      <c r="D754" t="s">
        <v>350</v>
      </c>
      <c r="E754" t="s">
        <v>14</v>
      </c>
      <c r="F754" t="s">
        <v>1692</v>
      </c>
      <c r="G754" t="str">
        <f>"201409007115"</f>
        <v>201409007115</v>
      </c>
      <c r="H754" t="s">
        <v>100</v>
      </c>
      <c r="I754">
        <v>0</v>
      </c>
      <c r="J754">
        <v>0</v>
      </c>
      <c r="K754">
        <v>0</v>
      </c>
      <c r="L754">
        <v>200</v>
      </c>
      <c r="M754">
        <v>0</v>
      </c>
      <c r="N754">
        <v>50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0</v>
      </c>
      <c r="AB754" t="s">
        <v>1693</v>
      </c>
    </row>
    <row r="755" spans="1:28" x14ac:dyDescent="0.25">
      <c r="H755" t="s">
        <v>1694</v>
      </c>
    </row>
    <row r="756" spans="1:28" x14ac:dyDescent="0.25">
      <c r="A756">
        <v>375</v>
      </c>
      <c r="B756">
        <v>3466</v>
      </c>
      <c r="C756" t="s">
        <v>1695</v>
      </c>
      <c r="D756" t="s">
        <v>350</v>
      </c>
      <c r="E756" t="s">
        <v>14</v>
      </c>
      <c r="F756" t="s">
        <v>1696</v>
      </c>
      <c r="G756" t="str">
        <f>"201406007626"</f>
        <v>201406007626</v>
      </c>
      <c r="H756" t="s">
        <v>1697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70</v>
      </c>
      <c r="O756">
        <v>70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12</v>
      </c>
      <c r="AA756">
        <v>204</v>
      </c>
      <c r="AB756" t="s">
        <v>1698</v>
      </c>
    </row>
    <row r="757" spans="1:28" x14ac:dyDescent="0.25">
      <c r="H757" t="s">
        <v>1699</v>
      </c>
    </row>
    <row r="758" spans="1:28" x14ac:dyDescent="0.25">
      <c r="A758">
        <v>376</v>
      </c>
      <c r="B758">
        <v>2287</v>
      </c>
      <c r="C758" t="s">
        <v>1700</v>
      </c>
      <c r="D758" t="s">
        <v>187</v>
      </c>
      <c r="E758" t="s">
        <v>39</v>
      </c>
      <c r="F758" t="s">
        <v>1701</v>
      </c>
      <c r="G758" t="str">
        <f>"201101000001"</f>
        <v>201101000001</v>
      </c>
      <c r="H758" t="s">
        <v>189</v>
      </c>
      <c r="I758">
        <v>0</v>
      </c>
      <c r="J758">
        <v>0</v>
      </c>
      <c r="K758">
        <v>0</v>
      </c>
      <c r="L758">
        <v>200</v>
      </c>
      <c r="M758">
        <v>0</v>
      </c>
      <c r="N758">
        <v>70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>
        <v>0</v>
      </c>
      <c r="Z758">
        <v>0</v>
      </c>
      <c r="AA758">
        <v>0</v>
      </c>
      <c r="AB758" t="s">
        <v>1702</v>
      </c>
    </row>
    <row r="759" spans="1:28" x14ac:dyDescent="0.25">
      <c r="H759" t="s">
        <v>1703</v>
      </c>
    </row>
    <row r="760" spans="1:28" x14ac:dyDescent="0.25">
      <c r="A760">
        <v>377</v>
      </c>
      <c r="B760">
        <v>2491</v>
      </c>
      <c r="C760" t="s">
        <v>1704</v>
      </c>
      <c r="D760" t="s">
        <v>1705</v>
      </c>
      <c r="E760" t="s">
        <v>247</v>
      </c>
      <c r="F760" t="s">
        <v>1706</v>
      </c>
      <c r="G760" t="str">
        <f>"201402005461"</f>
        <v>201402005461</v>
      </c>
      <c r="H760" t="s">
        <v>243</v>
      </c>
      <c r="I760">
        <v>0</v>
      </c>
      <c r="J760">
        <v>0</v>
      </c>
      <c r="K760">
        <v>0</v>
      </c>
      <c r="L760">
        <v>200</v>
      </c>
      <c r="M760">
        <v>0</v>
      </c>
      <c r="N760">
        <v>70</v>
      </c>
      <c r="O760">
        <v>50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>
        <v>0</v>
      </c>
      <c r="Z760">
        <v>0</v>
      </c>
      <c r="AA760">
        <v>0</v>
      </c>
      <c r="AB760" t="s">
        <v>1707</v>
      </c>
    </row>
    <row r="761" spans="1:28" x14ac:dyDescent="0.25">
      <c r="H761" t="s">
        <v>1708</v>
      </c>
    </row>
    <row r="762" spans="1:28" x14ac:dyDescent="0.25">
      <c r="A762">
        <v>378</v>
      </c>
      <c r="B762">
        <v>3156</v>
      </c>
      <c r="C762" t="s">
        <v>1709</v>
      </c>
      <c r="D762" t="s">
        <v>366</v>
      </c>
      <c r="E762" t="s">
        <v>14</v>
      </c>
      <c r="F762" t="s">
        <v>1710</v>
      </c>
      <c r="G762" t="str">
        <f>"201604006073"</f>
        <v>201604006073</v>
      </c>
      <c r="H762" t="s">
        <v>1473</v>
      </c>
      <c r="I762">
        <v>0</v>
      </c>
      <c r="J762">
        <v>0</v>
      </c>
      <c r="K762">
        <v>0</v>
      </c>
      <c r="L762">
        <v>0</v>
      </c>
      <c r="M762">
        <v>100</v>
      </c>
      <c r="N762">
        <v>70</v>
      </c>
      <c r="O762">
        <v>0</v>
      </c>
      <c r="P762">
        <v>0</v>
      </c>
      <c r="Q762">
        <v>30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>
        <v>0</v>
      </c>
      <c r="AB762" t="s">
        <v>1711</v>
      </c>
    </row>
    <row r="763" spans="1:28" x14ac:dyDescent="0.25">
      <c r="H763" t="s">
        <v>895</v>
      </c>
    </row>
    <row r="764" spans="1:28" x14ac:dyDescent="0.25">
      <c r="A764">
        <v>379</v>
      </c>
      <c r="B764">
        <v>2492</v>
      </c>
      <c r="C764" t="s">
        <v>1712</v>
      </c>
      <c r="D764" t="s">
        <v>43</v>
      </c>
      <c r="E764" t="s">
        <v>20</v>
      </c>
      <c r="F764" t="s">
        <v>1713</v>
      </c>
      <c r="G764" t="str">
        <f>"201406004559"</f>
        <v>201406004559</v>
      </c>
      <c r="H764" t="s">
        <v>1714</v>
      </c>
      <c r="I764">
        <v>0</v>
      </c>
      <c r="J764">
        <v>0</v>
      </c>
      <c r="K764">
        <v>0</v>
      </c>
      <c r="L764">
        <v>200</v>
      </c>
      <c r="M764">
        <v>0</v>
      </c>
      <c r="N764">
        <v>70</v>
      </c>
      <c r="O764">
        <v>0</v>
      </c>
      <c r="P764">
        <v>30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0</v>
      </c>
      <c r="Z764">
        <v>0</v>
      </c>
      <c r="AA764">
        <v>0</v>
      </c>
      <c r="AB764" t="s">
        <v>1715</v>
      </c>
    </row>
    <row r="765" spans="1:28" x14ac:dyDescent="0.25">
      <c r="H765" t="s">
        <v>1716</v>
      </c>
    </row>
    <row r="766" spans="1:28" x14ac:dyDescent="0.25">
      <c r="A766">
        <v>380</v>
      </c>
      <c r="B766">
        <v>961</v>
      </c>
      <c r="C766" t="s">
        <v>1717</v>
      </c>
      <c r="D766" t="s">
        <v>14</v>
      </c>
      <c r="E766" t="s">
        <v>50</v>
      </c>
      <c r="F766" t="s">
        <v>1718</v>
      </c>
      <c r="G766" t="str">
        <f>"201301000087"</f>
        <v>201301000087</v>
      </c>
      <c r="H766" t="s">
        <v>1714</v>
      </c>
      <c r="I766">
        <v>0</v>
      </c>
      <c r="J766">
        <v>0</v>
      </c>
      <c r="K766">
        <v>0</v>
      </c>
      <c r="L766">
        <v>200</v>
      </c>
      <c r="M766">
        <v>0</v>
      </c>
      <c r="N766">
        <v>70</v>
      </c>
      <c r="O766">
        <v>0</v>
      </c>
      <c r="P766">
        <v>30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>
        <v>0</v>
      </c>
      <c r="AB766" t="s">
        <v>1715</v>
      </c>
    </row>
    <row r="767" spans="1:28" x14ac:dyDescent="0.25">
      <c r="H767" t="s">
        <v>1719</v>
      </c>
    </row>
    <row r="768" spans="1:28" x14ac:dyDescent="0.25">
      <c r="A768">
        <v>381</v>
      </c>
      <c r="B768">
        <v>1860</v>
      </c>
      <c r="C768" t="s">
        <v>1720</v>
      </c>
      <c r="D768" t="s">
        <v>187</v>
      </c>
      <c r="E768" t="s">
        <v>218</v>
      </c>
      <c r="F768" t="s">
        <v>1721</v>
      </c>
      <c r="G768" t="str">
        <f>"201304004071"</f>
        <v>201304004071</v>
      </c>
      <c r="H768" t="s">
        <v>221</v>
      </c>
      <c r="I768">
        <v>0</v>
      </c>
      <c r="J768">
        <v>0</v>
      </c>
      <c r="K768">
        <v>0</v>
      </c>
      <c r="L768">
        <v>200</v>
      </c>
      <c r="M768">
        <v>0</v>
      </c>
      <c r="N768">
        <v>30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0</v>
      </c>
      <c r="Z768">
        <v>0</v>
      </c>
      <c r="AA768">
        <v>0</v>
      </c>
      <c r="AB768" t="s">
        <v>1722</v>
      </c>
    </row>
    <row r="769" spans="1:28" x14ac:dyDescent="0.25">
      <c r="H769" t="s">
        <v>1723</v>
      </c>
    </row>
    <row r="770" spans="1:28" x14ac:dyDescent="0.25">
      <c r="A770">
        <v>382</v>
      </c>
      <c r="B770">
        <v>4585</v>
      </c>
      <c r="C770" t="s">
        <v>1724</v>
      </c>
      <c r="D770" t="s">
        <v>19</v>
      </c>
      <c r="E770" t="s">
        <v>218</v>
      </c>
      <c r="F770" t="s">
        <v>1725</v>
      </c>
      <c r="G770" t="str">
        <f>"200801005347"</f>
        <v>200801005347</v>
      </c>
      <c r="H770" t="s">
        <v>273</v>
      </c>
      <c r="I770">
        <v>0</v>
      </c>
      <c r="J770">
        <v>0</v>
      </c>
      <c r="K770">
        <v>0</v>
      </c>
      <c r="L770">
        <v>200</v>
      </c>
      <c r="M770">
        <v>30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>
        <v>0</v>
      </c>
      <c r="AB770" t="s">
        <v>1726</v>
      </c>
    </row>
    <row r="771" spans="1:28" x14ac:dyDescent="0.25">
      <c r="H771" t="s">
        <v>1727</v>
      </c>
    </row>
    <row r="772" spans="1:28" x14ac:dyDescent="0.25">
      <c r="A772">
        <v>383</v>
      </c>
      <c r="B772">
        <v>597</v>
      </c>
      <c r="C772" t="s">
        <v>1728</v>
      </c>
      <c r="D772" t="s">
        <v>26</v>
      </c>
      <c r="E772" t="s">
        <v>14</v>
      </c>
      <c r="F772" t="s">
        <v>1729</v>
      </c>
      <c r="G772" t="str">
        <f>"00102758"</f>
        <v>00102758</v>
      </c>
      <c r="H772" t="s">
        <v>163</v>
      </c>
      <c r="I772">
        <v>0</v>
      </c>
      <c r="J772">
        <v>0</v>
      </c>
      <c r="K772">
        <v>0</v>
      </c>
      <c r="L772">
        <v>200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1</v>
      </c>
      <c r="Y772">
        <v>0</v>
      </c>
      <c r="Z772">
        <v>0</v>
      </c>
      <c r="AA772">
        <v>0</v>
      </c>
      <c r="AB772" t="s">
        <v>1730</v>
      </c>
    </row>
    <row r="773" spans="1:28" x14ac:dyDescent="0.25">
      <c r="H773" t="s">
        <v>205</v>
      </c>
    </row>
    <row r="774" spans="1:28" x14ac:dyDescent="0.25">
      <c r="A774">
        <v>384</v>
      </c>
      <c r="B774">
        <v>2250</v>
      </c>
      <c r="C774" t="s">
        <v>1731</v>
      </c>
      <c r="D774" t="s">
        <v>1732</v>
      </c>
      <c r="E774" t="s">
        <v>212</v>
      </c>
      <c r="F774" t="s">
        <v>1733</v>
      </c>
      <c r="G774" t="str">
        <f>"201504004379"</f>
        <v>201504004379</v>
      </c>
      <c r="H774">
        <v>770</v>
      </c>
      <c r="I774">
        <v>0</v>
      </c>
      <c r="J774">
        <v>0</v>
      </c>
      <c r="K774">
        <v>0</v>
      </c>
      <c r="L774">
        <v>200</v>
      </c>
      <c r="M774">
        <v>0</v>
      </c>
      <c r="N774">
        <v>70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>
        <v>0</v>
      </c>
      <c r="Z774">
        <v>0</v>
      </c>
      <c r="AA774">
        <v>0</v>
      </c>
      <c r="AB774">
        <v>1040</v>
      </c>
    </row>
    <row r="775" spans="1:28" x14ac:dyDescent="0.25">
      <c r="H775" t="s">
        <v>1734</v>
      </c>
    </row>
    <row r="776" spans="1:28" x14ac:dyDescent="0.25">
      <c r="A776">
        <v>385</v>
      </c>
      <c r="B776">
        <v>1849</v>
      </c>
      <c r="C776" t="s">
        <v>1735</v>
      </c>
      <c r="D776" t="s">
        <v>20</v>
      </c>
      <c r="E776" t="s">
        <v>20</v>
      </c>
      <c r="F776" t="s">
        <v>1736</v>
      </c>
      <c r="G776" t="str">
        <f>"200802002681"</f>
        <v>200802002681</v>
      </c>
      <c r="H776" t="s">
        <v>460</v>
      </c>
      <c r="I776">
        <v>0</v>
      </c>
      <c r="J776">
        <v>0</v>
      </c>
      <c r="K776">
        <v>0</v>
      </c>
      <c r="L776">
        <v>0</v>
      </c>
      <c r="M776">
        <v>100</v>
      </c>
      <c r="N776">
        <v>70</v>
      </c>
      <c r="O776">
        <v>30</v>
      </c>
      <c r="P776">
        <v>30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0</v>
      </c>
      <c r="AB776" t="s">
        <v>1737</v>
      </c>
    </row>
    <row r="777" spans="1:28" x14ac:dyDescent="0.25">
      <c r="H777" t="s">
        <v>1738</v>
      </c>
    </row>
    <row r="778" spans="1:28" x14ac:dyDescent="0.25">
      <c r="A778">
        <v>386</v>
      </c>
      <c r="B778">
        <v>1913</v>
      </c>
      <c r="C778" t="s">
        <v>1739</v>
      </c>
      <c r="D778" t="s">
        <v>471</v>
      </c>
      <c r="E778" t="s">
        <v>38</v>
      </c>
      <c r="F778" t="s">
        <v>1740</v>
      </c>
      <c r="G778" t="str">
        <f>"201406002275"</f>
        <v>201406002275</v>
      </c>
      <c r="H778" t="s">
        <v>1186</v>
      </c>
      <c r="I778">
        <v>0</v>
      </c>
      <c r="J778">
        <v>0</v>
      </c>
      <c r="K778">
        <v>0</v>
      </c>
      <c r="L778">
        <v>0</v>
      </c>
      <c r="M778">
        <v>100</v>
      </c>
      <c r="N778">
        <v>70</v>
      </c>
      <c r="O778">
        <v>0</v>
      </c>
      <c r="P778">
        <v>50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0</v>
      </c>
      <c r="AB778" t="s">
        <v>1741</v>
      </c>
    </row>
    <row r="779" spans="1:28" x14ac:dyDescent="0.25">
      <c r="H779" t="s">
        <v>739</v>
      </c>
    </row>
    <row r="780" spans="1:28" x14ac:dyDescent="0.25">
      <c r="A780">
        <v>387</v>
      </c>
      <c r="B780">
        <v>149</v>
      </c>
      <c r="C780" t="s">
        <v>1742</v>
      </c>
      <c r="D780" t="s">
        <v>874</v>
      </c>
      <c r="E780" t="s">
        <v>1743</v>
      </c>
      <c r="F780" t="s">
        <v>1744</v>
      </c>
      <c r="G780" t="str">
        <f>"00120101"</f>
        <v>00120101</v>
      </c>
      <c r="H780" t="s">
        <v>1745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70</v>
      </c>
      <c r="U780">
        <v>0</v>
      </c>
      <c r="V780">
        <v>0</v>
      </c>
      <c r="X780">
        <v>1</v>
      </c>
      <c r="Y780">
        <v>0</v>
      </c>
      <c r="Z780">
        <v>0</v>
      </c>
      <c r="AA780">
        <v>0</v>
      </c>
      <c r="AB780" t="s">
        <v>1746</v>
      </c>
    </row>
    <row r="781" spans="1:28" x14ac:dyDescent="0.25">
      <c r="H781" t="s">
        <v>1747</v>
      </c>
    </row>
    <row r="782" spans="1:28" x14ac:dyDescent="0.25">
      <c r="A782">
        <v>388</v>
      </c>
      <c r="B782">
        <v>4217</v>
      </c>
      <c r="C782" t="s">
        <v>1748</v>
      </c>
      <c r="D782" t="s">
        <v>51</v>
      </c>
      <c r="E782" t="s">
        <v>15</v>
      </c>
      <c r="F782" t="s">
        <v>1749</v>
      </c>
      <c r="G782" t="str">
        <f>"201406010773"</f>
        <v>201406010773</v>
      </c>
      <c r="H782" t="s">
        <v>1750</v>
      </c>
      <c r="I782">
        <v>0</v>
      </c>
      <c r="J782">
        <v>0</v>
      </c>
      <c r="K782">
        <v>0</v>
      </c>
      <c r="L782">
        <v>200</v>
      </c>
      <c r="M782">
        <v>0</v>
      </c>
      <c r="N782">
        <v>70</v>
      </c>
      <c r="O782">
        <v>50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1</v>
      </c>
      <c r="Y782">
        <v>0</v>
      </c>
      <c r="Z782">
        <v>0</v>
      </c>
      <c r="AA782">
        <v>0</v>
      </c>
      <c r="AB782" t="s">
        <v>1746</v>
      </c>
    </row>
    <row r="783" spans="1:28" x14ac:dyDescent="0.25">
      <c r="H783" t="s">
        <v>1751</v>
      </c>
    </row>
    <row r="784" spans="1:28" x14ac:dyDescent="0.25">
      <c r="A784">
        <v>389</v>
      </c>
      <c r="B784">
        <v>2223</v>
      </c>
      <c r="C784" t="s">
        <v>1752</v>
      </c>
      <c r="D784" t="s">
        <v>14</v>
      </c>
      <c r="E784" t="s">
        <v>98</v>
      </c>
      <c r="F784" t="s">
        <v>1753</v>
      </c>
      <c r="G784" t="str">
        <f>"201402006877"</f>
        <v>201402006877</v>
      </c>
      <c r="H784" t="s">
        <v>568</v>
      </c>
      <c r="I784">
        <v>0</v>
      </c>
      <c r="J784">
        <v>0</v>
      </c>
      <c r="K784">
        <v>0</v>
      </c>
      <c r="L784">
        <v>200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>
        <v>0</v>
      </c>
      <c r="Z784">
        <v>0</v>
      </c>
      <c r="AA784">
        <v>0</v>
      </c>
      <c r="AB784" t="s">
        <v>1754</v>
      </c>
    </row>
    <row r="785" spans="1:28" x14ac:dyDescent="0.25">
      <c r="H785" t="s">
        <v>1755</v>
      </c>
    </row>
    <row r="786" spans="1:28" x14ac:dyDescent="0.25">
      <c r="A786">
        <v>390</v>
      </c>
      <c r="B786">
        <v>3928</v>
      </c>
      <c r="C786" t="s">
        <v>1756</v>
      </c>
      <c r="D786" t="s">
        <v>104</v>
      </c>
      <c r="E786" t="s">
        <v>218</v>
      </c>
      <c r="F786" t="s">
        <v>1757</v>
      </c>
      <c r="G786" t="str">
        <f>"00298501"</f>
        <v>00298501</v>
      </c>
      <c r="H786" t="s">
        <v>865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70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16</v>
      </c>
      <c r="AA786">
        <v>272</v>
      </c>
      <c r="AB786" t="s">
        <v>1758</v>
      </c>
    </row>
    <row r="787" spans="1:28" x14ac:dyDescent="0.25">
      <c r="H787" t="s">
        <v>152</v>
      </c>
    </row>
    <row r="788" spans="1:28" x14ac:dyDescent="0.25">
      <c r="A788">
        <v>391</v>
      </c>
      <c r="B788">
        <v>3654</v>
      </c>
      <c r="C788" t="s">
        <v>1759</v>
      </c>
      <c r="D788" t="s">
        <v>1760</v>
      </c>
      <c r="E788" t="s">
        <v>15</v>
      </c>
      <c r="F788" t="s">
        <v>1761</v>
      </c>
      <c r="G788" t="str">
        <f>"201507001049"</f>
        <v>201507001049</v>
      </c>
      <c r="H788" t="s">
        <v>1762</v>
      </c>
      <c r="I788">
        <v>0</v>
      </c>
      <c r="J788">
        <v>0</v>
      </c>
      <c r="K788">
        <v>0</v>
      </c>
      <c r="L788">
        <v>200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>
        <v>0</v>
      </c>
      <c r="AB788" t="s">
        <v>1763</v>
      </c>
    </row>
    <row r="789" spans="1:28" x14ac:dyDescent="0.25">
      <c r="H789" t="s">
        <v>1764</v>
      </c>
    </row>
    <row r="790" spans="1:28" x14ac:dyDescent="0.25">
      <c r="A790">
        <v>392</v>
      </c>
      <c r="B790">
        <v>3678</v>
      </c>
      <c r="C790" t="s">
        <v>1765</v>
      </c>
      <c r="D790" t="s">
        <v>20</v>
      </c>
      <c r="E790" t="s">
        <v>14</v>
      </c>
      <c r="F790" t="s">
        <v>1766</v>
      </c>
      <c r="G790" t="str">
        <f>"00240071"</f>
        <v>00240071</v>
      </c>
      <c r="H790" t="s">
        <v>1767</v>
      </c>
      <c r="I790">
        <v>0</v>
      </c>
      <c r="J790">
        <v>0</v>
      </c>
      <c r="K790">
        <v>0</v>
      </c>
      <c r="L790">
        <v>0</v>
      </c>
      <c r="M790">
        <v>100</v>
      </c>
      <c r="N790">
        <v>70</v>
      </c>
      <c r="O790">
        <v>30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>
        <v>0</v>
      </c>
      <c r="Z790">
        <v>0</v>
      </c>
      <c r="AA790">
        <v>0</v>
      </c>
      <c r="AB790" t="s">
        <v>1768</v>
      </c>
    </row>
    <row r="791" spans="1:28" x14ac:dyDescent="0.25">
      <c r="H791" t="s">
        <v>1769</v>
      </c>
    </row>
    <row r="792" spans="1:28" x14ac:dyDescent="0.25">
      <c r="A792">
        <v>393</v>
      </c>
      <c r="B792">
        <v>3815</v>
      </c>
      <c r="C792" t="s">
        <v>1770</v>
      </c>
      <c r="D792" t="s">
        <v>154</v>
      </c>
      <c r="E792" t="s">
        <v>80</v>
      </c>
      <c r="F792" t="s">
        <v>1771</v>
      </c>
      <c r="G792" t="str">
        <f>"201406016283"</f>
        <v>201406016283</v>
      </c>
      <c r="H792" t="s">
        <v>1772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1</v>
      </c>
      <c r="Y792">
        <v>0</v>
      </c>
      <c r="Z792">
        <v>24</v>
      </c>
      <c r="AA792">
        <v>408</v>
      </c>
      <c r="AB792" t="s">
        <v>1773</v>
      </c>
    </row>
    <row r="793" spans="1:28" x14ac:dyDescent="0.25">
      <c r="H793" t="s">
        <v>1774</v>
      </c>
    </row>
    <row r="794" spans="1:28" x14ac:dyDescent="0.25">
      <c r="A794">
        <v>394</v>
      </c>
      <c r="B794">
        <v>64</v>
      </c>
      <c r="C794" t="s">
        <v>1775</v>
      </c>
      <c r="D794" t="s">
        <v>1240</v>
      </c>
      <c r="E794" t="s">
        <v>50</v>
      </c>
      <c r="F794" t="s">
        <v>1776</v>
      </c>
      <c r="G794" t="str">
        <f>"200712003010"</f>
        <v>200712003010</v>
      </c>
      <c r="H794" t="s">
        <v>1777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30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>
        <v>0</v>
      </c>
      <c r="AB794" t="s">
        <v>1778</v>
      </c>
    </row>
    <row r="795" spans="1:28" x14ac:dyDescent="0.25">
      <c r="H795">
        <v>1009</v>
      </c>
    </row>
    <row r="796" spans="1:28" x14ac:dyDescent="0.25">
      <c r="A796">
        <v>395</v>
      </c>
      <c r="B796">
        <v>1608</v>
      </c>
      <c r="C796" t="s">
        <v>648</v>
      </c>
      <c r="D796" t="s">
        <v>265</v>
      </c>
      <c r="E796" t="s">
        <v>155</v>
      </c>
      <c r="F796" t="s">
        <v>1779</v>
      </c>
      <c r="G796" t="str">
        <f>"201406007113"</f>
        <v>201406007113</v>
      </c>
      <c r="H796">
        <v>847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70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7</v>
      </c>
      <c r="AA796">
        <v>119</v>
      </c>
      <c r="AB796">
        <v>1036</v>
      </c>
    </row>
    <row r="797" spans="1:28" x14ac:dyDescent="0.25">
      <c r="H797" t="s">
        <v>1780</v>
      </c>
    </row>
    <row r="798" spans="1:28" x14ac:dyDescent="0.25">
      <c r="A798">
        <v>396</v>
      </c>
      <c r="B798">
        <v>5251</v>
      </c>
      <c r="C798" t="s">
        <v>441</v>
      </c>
      <c r="D798" t="s">
        <v>1781</v>
      </c>
      <c r="E798" t="s">
        <v>155</v>
      </c>
      <c r="F798" t="s">
        <v>1782</v>
      </c>
      <c r="G798" t="str">
        <f>"201406005925"</f>
        <v>201406005925</v>
      </c>
      <c r="H798" t="s">
        <v>140</v>
      </c>
      <c r="I798">
        <v>0</v>
      </c>
      <c r="J798">
        <v>0</v>
      </c>
      <c r="K798">
        <v>0</v>
      </c>
      <c r="L798">
        <v>200</v>
      </c>
      <c r="M798">
        <v>0</v>
      </c>
      <c r="N798">
        <v>70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>
        <v>0</v>
      </c>
      <c r="Z798">
        <v>0</v>
      </c>
      <c r="AA798">
        <v>0</v>
      </c>
      <c r="AB798" t="s">
        <v>1783</v>
      </c>
    </row>
    <row r="799" spans="1:28" x14ac:dyDescent="0.25">
      <c r="H799" t="s">
        <v>1784</v>
      </c>
    </row>
    <row r="800" spans="1:28" x14ac:dyDescent="0.25">
      <c r="A800">
        <v>397</v>
      </c>
      <c r="B800">
        <v>2701</v>
      </c>
      <c r="C800" t="s">
        <v>1785</v>
      </c>
      <c r="D800" t="s">
        <v>1786</v>
      </c>
      <c r="E800" t="s">
        <v>15</v>
      </c>
      <c r="F800" t="s">
        <v>1787</v>
      </c>
      <c r="G800" t="str">
        <f>"201406014734"</f>
        <v>201406014734</v>
      </c>
      <c r="H800" t="s">
        <v>1400</v>
      </c>
      <c r="I800">
        <v>0</v>
      </c>
      <c r="J800">
        <v>0</v>
      </c>
      <c r="K800">
        <v>0</v>
      </c>
      <c r="L800">
        <v>200</v>
      </c>
      <c r="M800">
        <v>0</v>
      </c>
      <c r="N800">
        <v>50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>
        <v>0</v>
      </c>
      <c r="Z800">
        <v>0</v>
      </c>
      <c r="AA800">
        <v>0</v>
      </c>
      <c r="AB800" t="s">
        <v>1788</v>
      </c>
    </row>
    <row r="801" spans="1:28" x14ac:dyDescent="0.25">
      <c r="H801" t="s">
        <v>1789</v>
      </c>
    </row>
    <row r="802" spans="1:28" x14ac:dyDescent="0.25">
      <c r="A802">
        <v>398</v>
      </c>
      <c r="B802">
        <v>1150</v>
      </c>
      <c r="C802" t="s">
        <v>1790</v>
      </c>
      <c r="D802" t="s">
        <v>1680</v>
      </c>
      <c r="E802" t="s">
        <v>20</v>
      </c>
      <c r="F802" t="s">
        <v>1791</v>
      </c>
      <c r="G802" t="str">
        <f>"00157805"</f>
        <v>00157805</v>
      </c>
      <c r="H802" t="s">
        <v>22</v>
      </c>
      <c r="I802">
        <v>0</v>
      </c>
      <c r="J802">
        <v>0</v>
      </c>
      <c r="K802">
        <v>0</v>
      </c>
      <c r="L802">
        <v>200</v>
      </c>
      <c r="M802">
        <v>0</v>
      </c>
      <c r="N802">
        <v>70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>
        <v>0</v>
      </c>
      <c r="Z802">
        <v>0</v>
      </c>
      <c r="AA802">
        <v>0</v>
      </c>
      <c r="AB802" t="s">
        <v>1792</v>
      </c>
    </row>
    <row r="803" spans="1:28" x14ac:dyDescent="0.25">
      <c r="H803" t="s">
        <v>1793</v>
      </c>
    </row>
    <row r="804" spans="1:28" x14ac:dyDescent="0.25">
      <c r="A804">
        <v>399</v>
      </c>
      <c r="B804">
        <v>4924</v>
      </c>
      <c r="C804" t="s">
        <v>1794</v>
      </c>
      <c r="D804" t="s">
        <v>1795</v>
      </c>
      <c r="E804" t="s">
        <v>20</v>
      </c>
      <c r="F804" t="s">
        <v>1796</v>
      </c>
      <c r="G804" t="str">
        <f>"00360211"</f>
        <v>00360211</v>
      </c>
      <c r="H804" t="s">
        <v>1219</v>
      </c>
      <c r="I804">
        <v>0</v>
      </c>
      <c r="J804">
        <v>0</v>
      </c>
      <c r="K804">
        <v>0</v>
      </c>
      <c r="L804">
        <v>0</v>
      </c>
      <c r="M804">
        <v>100</v>
      </c>
      <c r="N804">
        <v>50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>
        <v>0</v>
      </c>
      <c r="Z804">
        <v>0</v>
      </c>
      <c r="AA804">
        <v>0</v>
      </c>
      <c r="AB804" t="s">
        <v>1797</v>
      </c>
    </row>
    <row r="805" spans="1:28" x14ac:dyDescent="0.25">
      <c r="H805" t="s">
        <v>142</v>
      </c>
    </row>
    <row r="806" spans="1:28" x14ac:dyDescent="0.25">
      <c r="A806">
        <v>400</v>
      </c>
      <c r="B806">
        <v>722</v>
      </c>
      <c r="C806" t="s">
        <v>1798</v>
      </c>
      <c r="D806" t="s">
        <v>1799</v>
      </c>
      <c r="E806" t="s">
        <v>1800</v>
      </c>
      <c r="F806" t="s">
        <v>1801</v>
      </c>
      <c r="G806" t="str">
        <f>"201406008644"</f>
        <v>201406008644</v>
      </c>
      <c r="H806" t="s">
        <v>898</v>
      </c>
      <c r="I806">
        <v>0</v>
      </c>
      <c r="J806">
        <v>0</v>
      </c>
      <c r="K806">
        <v>0</v>
      </c>
      <c r="L806">
        <v>200</v>
      </c>
      <c r="M806">
        <v>0</v>
      </c>
      <c r="N806">
        <v>50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>
        <v>0</v>
      </c>
      <c r="Z806">
        <v>0</v>
      </c>
      <c r="AA806">
        <v>0</v>
      </c>
      <c r="AB806" t="s">
        <v>1802</v>
      </c>
    </row>
    <row r="807" spans="1:28" x14ac:dyDescent="0.25">
      <c r="H807" t="s">
        <v>1803</v>
      </c>
    </row>
    <row r="808" spans="1:28" x14ac:dyDescent="0.25">
      <c r="A808">
        <v>401</v>
      </c>
      <c r="B808">
        <v>1502</v>
      </c>
      <c r="C808" t="s">
        <v>1804</v>
      </c>
      <c r="D808" t="s">
        <v>306</v>
      </c>
      <c r="E808" t="s">
        <v>15</v>
      </c>
      <c r="F808" t="s">
        <v>1805</v>
      </c>
      <c r="G808" t="str">
        <f>"200810000433"</f>
        <v>200810000433</v>
      </c>
      <c r="H808" t="s">
        <v>249</v>
      </c>
      <c r="I808">
        <v>0</v>
      </c>
      <c r="J808">
        <v>0</v>
      </c>
      <c r="K808">
        <v>0</v>
      </c>
      <c r="L808">
        <v>200</v>
      </c>
      <c r="M808">
        <v>0</v>
      </c>
      <c r="N808">
        <v>70</v>
      </c>
      <c r="O808">
        <v>0</v>
      </c>
      <c r="P808">
        <v>0</v>
      </c>
      <c r="Q808">
        <v>30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>
        <v>0</v>
      </c>
      <c r="Z808">
        <v>0</v>
      </c>
      <c r="AA808">
        <v>0</v>
      </c>
      <c r="AB808" t="s">
        <v>1806</v>
      </c>
    </row>
    <row r="809" spans="1:28" x14ac:dyDescent="0.25">
      <c r="H809" t="s">
        <v>1807</v>
      </c>
    </row>
    <row r="810" spans="1:28" x14ac:dyDescent="0.25">
      <c r="A810">
        <v>402</v>
      </c>
      <c r="B810">
        <v>4952</v>
      </c>
      <c r="C810" t="s">
        <v>1808</v>
      </c>
      <c r="D810" t="s">
        <v>154</v>
      </c>
      <c r="E810" t="s">
        <v>44</v>
      </c>
      <c r="F810" t="s">
        <v>1809</v>
      </c>
      <c r="G810" t="str">
        <f>"00116324"</f>
        <v>00116324</v>
      </c>
      <c r="H810" t="s">
        <v>1714</v>
      </c>
      <c r="I810">
        <v>0</v>
      </c>
      <c r="J810">
        <v>0</v>
      </c>
      <c r="K810">
        <v>0</v>
      </c>
      <c r="L810">
        <v>260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0</v>
      </c>
      <c r="Y810">
        <v>0</v>
      </c>
      <c r="Z810">
        <v>0</v>
      </c>
      <c r="AA810">
        <v>0</v>
      </c>
      <c r="AB810" t="s">
        <v>1810</v>
      </c>
    </row>
    <row r="811" spans="1:28" x14ac:dyDescent="0.25">
      <c r="H811">
        <v>1009</v>
      </c>
    </row>
    <row r="812" spans="1:28" x14ac:dyDescent="0.25">
      <c r="A812">
        <v>403</v>
      </c>
      <c r="B812">
        <v>1843</v>
      </c>
      <c r="C812" t="s">
        <v>1811</v>
      </c>
      <c r="D812" t="s">
        <v>138</v>
      </c>
      <c r="E812" t="s">
        <v>134</v>
      </c>
      <c r="F812" t="s">
        <v>1812</v>
      </c>
      <c r="G812" t="str">
        <f>"200712005625"</f>
        <v>200712005625</v>
      </c>
      <c r="H812" t="s">
        <v>34</v>
      </c>
      <c r="I812">
        <v>0</v>
      </c>
      <c r="J812">
        <v>0</v>
      </c>
      <c r="K812">
        <v>0</v>
      </c>
      <c r="L812">
        <v>200</v>
      </c>
      <c r="M812">
        <v>0</v>
      </c>
      <c r="N812">
        <v>70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0</v>
      </c>
      <c r="Z812">
        <v>0</v>
      </c>
      <c r="AA812">
        <v>0</v>
      </c>
      <c r="AB812" t="s">
        <v>1813</v>
      </c>
    </row>
    <row r="813" spans="1:28" x14ac:dyDescent="0.25">
      <c r="H813" t="s">
        <v>1814</v>
      </c>
    </row>
    <row r="814" spans="1:28" x14ac:dyDescent="0.25">
      <c r="A814">
        <v>404</v>
      </c>
      <c r="B814">
        <v>5302</v>
      </c>
      <c r="C814" t="s">
        <v>845</v>
      </c>
      <c r="D814" t="s">
        <v>1815</v>
      </c>
      <c r="E814" t="s">
        <v>14</v>
      </c>
      <c r="F814" t="s">
        <v>1816</v>
      </c>
      <c r="G814" t="str">
        <f>"201412004658"</f>
        <v>201412004658</v>
      </c>
      <c r="H814" t="s">
        <v>34</v>
      </c>
      <c r="I814">
        <v>0</v>
      </c>
      <c r="J814">
        <v>0</v>
      </c>
      <c r="K814">
        <v>0</v>
      </c>
      <c r="L814">
        <v>200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0</v>
      </c>
      <c r="Z814">
        <v>0</v>
      </c>
      <c r="AA814">
        <v>0</v>
      </c>
      <c r="AB814" t="s">
        <v>1813</v>
      </c>
    </row>
    <row r="815" spans="1:28" x14ac:dyDescent="0.25">
      <c r="H815" t="s">
        <v>1817</v>
      </c>
    </row>
    <row r="816" spans="1:28" x14ac:dyDescent="0.25">
      <c r="A816">
        <v>405</v>
      </c>
      <c r="B816">
        <v>4035</v>
      </c>
      <c r="C816" t="s">
        <v>1818</v>
      </c>
      <c r="D816" t="s">
        <v>1041</v>
      </c>
      <c r="E816" t="s">
        <v>15</v>
      </c>
      <c r="F816" t="s">
        <v>1819</v>
      </c>
      <c r="G816" t="str">
        <f>"201406008193"</f>
        <v>201406008193</v>
      </c>
      <c r="H816">
        <v>803</v>
      </c>
      <c r="I816">
        <v>0</v>
      </c>
      <c r="J816">
        <v>0</v>
      </c>
      <c r="K816">
        <v>0</v>
      </c>
      <c r="L816">
        <v>200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0</v>
      </c>
      <c r="Z816">
        <v>0</v>
      </c>
      <c r="AA816">
        <v>0</v>
      </c>
      <c r="AB816">
        <v>1033</v>
      </c>
    </row>
    <row r="817" spans="1:28" x14ac:dyDescent="0.25">
      <c r="H817" t="s">
        <v>1820</v>
      </c>
    </row>
    <row r="818" spans="1:28" x14ac:dyDescent="0.25">
      <c r="A818">
        <v>406</v>
      </c>
      <c r="B818">
        <v>3860</v>
      </c>
      <c r="C818" t="s">
        <v>1821</v>
      </c>
      <c r="D818" t="s">
        <v>1822</v>
      </c>
      <c r="E818" t="s">
        <v>39</v>
      </c>
      <c r="F818" t="s">
        <v>1823</v>
      </c>
      <c r="G818" t="str">
        <f>"201304002271"</f>
        <v>201304002271</v>
      </c>
      <c r="H818" t="s">
        <v>1554</v>
      </c>
      <c r="I818">
        <v>0</v>
      </c>
      <c r="J818">
        <v>0</v>
      </c>
      <c r="K818">
        <v>0</v>
      </c>
      <c r="L818">
        <v>200</v>
      </c>
      <c r="M818">
        <v>0</v>
      </c>
      <c r="N818">
        <v>70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>
        <v>0</v>
      </c>
      <c r="Z818">
        <v>0</v>
      </c>
      <c r="AA818">
        <v>0</v>
      </c>
      <c r="AB818" t="s">
        <v>1824</v>
      </c>
    </row>
    <row r="819" spans="1:28" x14ac:dyDescent="0.25">
      <c r="H819" t="s">
        <v>1825</v>
      </c>
    </row>
    <row r="820" spans="1:28" x14ac:dyDescent="0.25">
      <c r="A820">
        <v>407</v>
      </c>
      <c r="B820">
        <v>2644</v>
      </c>
      <c r="C820" t="s">
        <v>1826</v>
      </c>
      <c r="D820" t="s">
        <v>51</v>
      </c>
      <c r="E820" t="s">
        <v>20</v>
      </c>
      <c r="F820" t="s">
        <v>1827</v>
      </c>
      <c r="G820" t="str">
        <f>"201406006848"</f>
        <v>201406006848</v>
      </c>
      <c r="H820" t="s">
        <v>1032</v>
      </c>
      <c r="I820">
        <v>0</v>
      </c>
      <c r="J820">
        <v>0</v>
      </c>
      <c r="K820">
        <v>0</v>
      </c>
      <c r="L820">
        <v>200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>
        <v>0</v>
      </c>
      <c r="Z820">
        <v>0</v>
      </c>
      <c r="AA820">
        <v>0</v>
      </c>
      <c r="AB820" t="s">
        <v>1828</v>
      </c>
    </row>
    <row r="821" spans="1:28" x14ac:dyDescent="0.25">
      <c r="H821" t="s">
        <v>1829</v>
      </c>
    </row>
    <row r="822" spans="1:28" x14ac:dyDescent="0.25">
      <c r="A822">
        <v>408</v>
      </c>
      <c r="B822">
        <v>4682</v>
      </c>
      <c r="C822" t="s">
        <v>1830</v>
      </c>
      <c r="D822" t="s">
        <v>138</v>
      </c>
      <c r="E822" t="s">
        <v>14</v>
      </c>
      <c r="F822" t="s">
        <v>1831</v>
      </c>
      <c r="G822" t="str">
        <f>"00226966"</f>
        <v>00226966</v>
      </c>
      <c r="H822" t="s">
        <v>1032</v>
      </c>
      <c r="I822">
        <v>0</v>
      </c>
      <c r="J822">
        <v>0</v>
      </c>
      <c r="K822">
        <v>0</v>
      </c>
      <c r="L822">
        <v>200</v>
      </c>
      <c r="M822">
        <v>0</v>
      </c>
      <c r="N822">
        <v>30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1</v>
      </c>
      <c r="Y822">
        <v>0</v>
      </c>
      <c r="Z822">
        <v>0</v>
      </c>
      <c r="AA822">
        <v>0</v>
      </c>
      <c r="AB822" t="s">
        <v>1828</v>
      </c>
    </row>
    <row r="823" spans="1:28" x14ac:dyDescent="0.25">
      <c r="H823" t="s">
        <v>1832</v>
      </c>
    </row>
    <row r="824" spans="1:28" x14ac:dyDescent="0.25">
      <c r="A824">
        <v>409</v>
      </c>
      <c r="B824">
        <v>4991</v>
      </c>
      <c r="C824" t="s">
        <v>1833</v>
      </c>
      <c r="D824" t="s">
        <v>20</v>
      </c>
      <c r="E824" t="s">
        <v>51</v>
      </c>
      <c r="F824" t="s">
        <v>1834</v>
      </c>
      <c r="G824" t="str">
        <f>"201410008509"</f>
        <v>201410008509</v>
      </c>
      <c r="H824" t="s">
        <v>1835</v>
      </c>
      <c r="I824">
        <v>0</v>
      </c>
      <c r="J824">
        <v>0</v>
      </c>
      <c r="K824">
        <v>0</v>
      </c>
      <c r="L824">
        <v>200</v>
      </c>
      <c r="M824">
        <v>0</v>
      </c>
      <c r="N824">
        <v>70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>
        <v>0</v>
      </c>
      <c r="Z824">
        <v>0</v>
      </c>
      <c r="AA824">
        <v>0</v>
      </c>
      <c r="AB824" t="s">
        <v>1836</v>
      </c>
    </row>
    <row r="825" spans="1:28" x14ac:dyDescent="0.25">
      <c r="H825" t="s">
        <v>1837</v>
      </c>
    </row>
    <row r="826" spans="1:28" x14ac:dyDescent="0.25">
      <c r="A826">
        <v>410</v>
      </c>
      <c r="B826">
        <v>1104</v>
      </c>
      <c r="C826" t="s">
        <v>1838</v>
      </c>
      <c r="D826" t="s">
        <v>1839</v>
      </c>
      <c r="E826" t="s">
        <v>51</v>
      </c>
      <c r="F826" t="s">
        <v>1840</v>
      </c>
      <c r="G826" t="str">
        <f>"201406014389"</f>
        <v>201406014389</v>
      </c>
      <c r="H826" t="s">
        <v>1841</v>
      </c>
      <c r="I826">
        <v>0</v>
      </c>
      <c r="J826">
        <v>0</v>
      </c>
      <c r="K826">
        <v>0</v>
      </c>
      <c r="L826">
        <v>200</v>
      </c>
      <c r="M826">
        <v>0</v>
      </c>
      <c r="N826">
        <v>70</v>
      </c>
      <c r="O826">
        <v>70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>
        <v>0</v>
      </c>
      <c r="Z826">
        <v>0</v>
      </c>
      <c r="AA826">
        <v>0</v>
      </c>
      <c r="AB826" t="s">
        <v>1842</v>
      </c>
    </row>
    <row r="827" spans="1:28" x14ac:dyDescent="0.25">
      <c r="H827" t="s">
        <v>1843</v>
      </c>
    </row>
    <row r="828" spans="1:28" x14ac:dyDescent="0.25">
      <c r="A828">
        <v>411</v>
      </c>
      <c r="B828">
        <v>3397</v>
      </c>
      <c r="C828" t="s">
        <v>845</v>
      </c>
      <c r="D828" t="s">
        <v>1844</v>
      </c>
      <c r="E828" t="s">
        <v>1845</v>
      </c>
      <c r="F828" t="s">
        <v>1846</v>
      </c>
      <c r="G828" t="str">
        <f>"201407000190"</f>
        <v>201407000190</v>
      </c>
      <c r="H828" t="s">
        <v>284</v>
      </c>
      <c r="I828">
        <v>0</v>
      </c>
      <c r="J828">
        <v>0</v>
      </c>
      <c r="K828">
        <v>0</v>
      </c>
      <c r="L828">
        <v>200</v>
      </c>
      <c r="M828">
        <v>30</v>
      </c>
      <c r="N828">
        <v>50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0</v>
      </c>
      <c r="Z828">
        <v>0</v>
      </c>
      <c r="AA828">
        <v>0</v>
      </c>
      <c r="AB828" t="s">
        <v>1847</v>
      </c>
    </row>
    <row r="829" spans="1:28" x14ac:dyDescent="0.25">
      <c r="H829" t="s">
        <v>1848</v>
      </c>
    </row>
    <row r="830" spans="1:28" x14ac:dyDescent="0.25">
      <c r="A830">
        <v>412</v>
      </c>
      <c r="B830">
        <v>2070</v>
      </c>
      <c r="C830" t="s">
        <v>1849</v>
      </c>
      <c r="D830" t="s">
        <v>26</v>
      </c>
      <c r="E830" t="s">
        <v>80</v>
      </c>
      <c r="F830" t="s">
        <v>1850</v>
      </c>
      <c r="G830" t="str">
        <f>"201401002438"</f>
        <v>201401002438</v>
      </c>
      <c r="H830">
        <v>759</v>
      </c>
      <c r="I830">
        <v>0</v>
      </c>
      <c r="J830">
        <v>0</v>
      </c>
      <c r="K830">
        <v>0</v>
      </c>
      <c r="L830">
        <v>200</v>
      </c>
      <c r="M830">
        <v>0</v>
      </c>
      <c r="N830">
        <v>70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0</v>
      </c>
      <c r="Z830">
        <v>0</v>
      </c>
      <c r="AA830">
        <v>0</v>
      </c>
      <c r="AB830">
        <v>1029</v>
      </c>
    </row>
    <row r="831" spans="1:28" x14ac:dyDescent="0.25">
      <c r="H831" t="s">
        <v>1851</v>
      </c>
    </row>
    <row r="832" spans="1:28" x14ac:dyDescent="0.25">
      <c r="A832">
        <v>413</v>
      </c>
      <c r="B832">
        <v>4047</v>
      </c>
      <c r="C832" t="s">
        <v>1852</v>
      </c>
      <c r="D832" t="s">
        <v>84</v>
      </c>
      <c r="E832" t="s">
        <v>14</v>
      </c>
      <c r="F832" t="s">
        <v>1853</v>
      </c>
      <c r="G832" t="str">
        <f>"200801003737"</f>
        <v>200801003737</v>
      </c>
      <c r="H832" t="s">
        <v>175</v>
      </c>
      <c r="I832">
        <v>0</v>
      </c>
      <c r="J832">
        <v>0</v>
      </c>
      <c r="K832">
        <v>0</v>
      </c>
      <c r="L832">
        <v>200</v>
      </c>
      <c r="M832">
        <v>0</v>
      </c>
      <c r="N832">
        <v>50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>
        <v>0</v>
      </c>
      <c r="Z832">
        <v>0</v>
      </c>
      <c r="AA832">
        <v>0</v>
      </c>
      <c r="AB832" t="s">
        <v>1854</v>
      </c>
    </row>
    <row r="833" spans="1:28" x14ac:dyDescent="0.25">
      <c r="H833" t="s">
        <v>1855</v>
      </c>
    </row>
    <row r="834" spans="1:28" x14ac:dyDescent="0.25">
      <c r="A834">
        <v>414</v>
      </c>
      <c r="B834">
        <v>1824</v>
      </c>
      <c r="C834" t="s">
        <v>1856</v>
      </c>
      <c r="D834" t="s">
        <v>387</v>
      </c>
      <c r="E834" t="s">
        <v>218</v>
      </c>
      <c r="F834" t="s">
        <v>1857</v>
      </c>
      <c r="G834" t="str">
        <f>"201511008577"</f>
        <v>201511008577</v>
      </c>
      <c r="H834" t="s">
        <v>1858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70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>
        <v>0</v>
      </c>
      <c r="Z834">
        <v>5</v>
      </c>
      <c r="AA834">
        <v>85</v>
      </c>
      <c r="AB834" t="s">
        <v>1859</v>
      </c>
    </row>
    <row r="835" spans="1:28" x14ac:dyDescent="0.25">
      <c r="H835">
        <v>1009</v>
      </c>
    </row>
    <row r="836" spans="1:28" x14ac:dyDescent="0.25">
      <c r="A836">
        <v>415</v>
      </c>
      <c r="B836">
        <v>317</v>
      </c>
      <c r="C836" t="s">
        <v>1860</v>
      </c>
      <c r="D836" t="s">
        <v>339</v>
      </c>
      <c r="E836" t="s">
        <v>20</v>
      </c>
      <c r="F836" t="s">
        <v>1861</v>
      </c>
      <c r="G836" t="str">
        <f>"201511022374"</f>
        <v>201511022374</v>
      </c>
      <c r="H836" t="s">
        <v>1862</v>
      </c>
      <c r="I836">
        <v>0</v>
      </c>
      <c r="J836">
        <v>0</v>
      </c>
      <c r="K836">
        <v>0</v>
      </c>
      <c r="L836">
        <v>200</v>
      </c>
      <c r="M836">
        <v>0</v>
      </c>
      <c r="N836">
        <v>70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>
        <v>0</v>
      </c>
      <c r="Z836">
        <v>0</v>
      </c>
      <c r="AA836">
        <v>0</v>
      </c>
      <c r="AB836" t="s">
        <v>1863</v>
      </c>
    </row>
    <row r="837" spans="1:28" x14ac:dyDescent="0.25">
      <c r="H837" t="s">
        <v>1864</v>
      </c>
    </row>
    <row r="838" spans="1:28" x14ac:dyDescent="0.25">
      <c r="A838">
        <v>416</v>
      </c>
      <c r="B838">
        <v>3316</v>
      </c>
      <c r="C838" t="s">
        <v>1865</v>
      </c>
      <c r="D838" t="s">
        <v>20</v>
      </c>
      <c r="E838" t="s">
        <v>14</v>
      </c>
      <c r="F838" t="s">
        <v>1866</v>
      </c>
      <c r="G838" t="str">
        <f>"201504003449"</f>
        <v>201504003449</v>
      </c>
      <c r="H838" t="s">
        <v>1862</v>
      </c>
      <c r="I838">
        <v>0</v>
      </c>
      <c r="J838">
        <v>0</v>
      </c>
      <c r="K838">
        <v>0</v>
      </c>
      <c r="L838">
        <v>200</v>
      </c>
      <c r="M838">
        <v>0</v>
      </c>
      <c r="N838">
        <v>70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>
        <v>0</v>
      </c>
      <c r="Z838">
        <v>0</v>
      </c>
      <c r="AA838">
        <v>0</v>
      </c>
      <c r="AB838" t="s">
        <v>1863</v>
      </c>
    </row>
    <row r="839" spans="1:28" x14ac:dyDescent="0.25">
      <c r="H839" t="s">
        <v>1867</v>
      </c>
    </row>
    <row r="840" spans="1:28" x14ac:dyDescent="0.25">
      <c r="A840">
        <v>417</v>
      </c>
      <c r="B840">
        <v>2501</v>
      </c>
      <c r="C840" t="s">
        <v>1868</v>
      </c>
      <c r="D840" t="s">
        <v>51</v>
      </c>
      <c r="E840" t="s">
        <v>14</v>
      </c>
      <c r="F840" t="s">
        <v>1869</v>
      </c>
      <c r="G840" t="str">
        <f>"201304003991"</f>
        <v>201304003991</v>
      </c>
      <c r="H840" t="s">
        <v>1592</v>
      </c>
      <c r="I840">
        <v>0</v>
      </c>
      <c r="J840">
        <v>0</v>
      </c>
      <c r="K840">
        <v>0</v>
      </c>
      <c r="L840">
        <v>200</v>
      </c>
      <c r="M840">
        <v>0</v>
      </c>
      <c r="N840">
        <v>70</v>
      </c>
      <c r="O840">
        <v>0</v>
      </c>
      <c r="P840">
        <v>30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0</v>
      </c>
      <c r="Y840">
        <v>0</v>
      </c>
      <c r="Z840">
        <v>0</v>
      </c>
      <c r="AA840">
        <v>0</v>
      </c>
      <c r="AB840" t="s">
        <v>1870</v>
      </c>
    </row>
    <row r="841" spans="1:28" x14ac:dyDescent="0.25">
      <c r="H841" t="s">
        <v>1871</v>
      </c>
    </row>
    <row r="842" spans="1:28" x14ac:dyDescent="0.25">
      <c r="A842">
        <v>418</v>
      </c>
      <c r="B842">
        <v>4433</v>
      </c>
      <c r="C842" t="s">
        <v>1872</v>
      </c>
      <c r="D842" t="s">
        <v>277</v>
      </c>
      <c r="E842" t="s">
        <v>1007</v>
      </c>
      <c r="F842" t="s">
        <v>1873</v>
      </c>
      <c r="G842" t="str">
        <f>"201304004971"</f>
        <v>201304004971</v>
      </c>
      <c r="H842" t="s">
        <v>1592</v>
      </c>
      <c r="I842">
        <v>0</v>
      </c>
      <c r="J842">
        <v>0</v>
      </c>
      <c r="K842">
        <v>0</v>
      </c>
      <c r="L842">
        <v>200</v>
      </c>
      <c r="M842">
        <v>0</v>
      </c>
      <c r="N842">
        <v>70</v>
      </c>
      <c r="O842">
        <v>0</v>
      </c>
      <c r="P842">
        <v>0</v>
      </c>
      <c r="Q842">
        <v>30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>
        <v>0</v>
      </c>
      <c r="Z842">
        <v>0</v>
      </c>
      <c r="AA842">
        <v>0</v>
      </c>
      <c r="AB842" t="s">
        <v>1870</v>
      </c>
    </row>
    <row r="843" spans="1:28" x14ac:dyDescent="0.25">
      <c r="H843" t="s">
        <v>1874</v>
      </c>
    </row>
    <row r="844" spans="1:28" x14ac:dyDescent="0.25">
      <c r="A844">
        <v>419</v>
      </c>
      <c r="B844">
        <v>1339</v>
      </c>
      <c r="C844" t="s">
        <v>1875</v>
      </c>
      <c r="D844" t="s">
        <v>1441</v>
      </c>
      <c r="E844" t="s">
        <v>80</v>
      </c>
      <c r="F844" t="s">
        <v>1876</v>
      </c>
      <c r="G844" t="str">
        <f>"200712005202"</f>
        <v>200712005202</v>
      </c>
      <c r="H844">
        <v>957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70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>
        <v>0</v>
      </c>
      <c r="Z844">
        <v>0</v>
      </c>
      <c r="AA844">
        <v>0</v>
      </c>
      <c r="AB844">
        <v>1027</v>
      </c>
    </row>
    <row r="845" spans="1:28" x14ac:dyDescent="0.25">
      <c r="H845" t="s">
        <v>1877</v>
      </c>
    </row>
    <row r="846" spans="1:28" x14ac:dyDescent="0.25">
      <c r="A846">
        <v>420</v>
      </c>
      <c r="B846">
        <v>1091</v>
      </c>
      <c r="C846" t="s">
        <v>1878</v>
      </c>
      <c r="D846" t="s">
        <v>393</v>
      </c>
      <c r="E846" t="s">
        <v>1103</v>
      </c>
      <c r="F846" t="s">
        <v>1879</v>
      </c>
      <c r="G846" t="str">
        <f>"00129206"</f>
        <v>00129206</v>
      </c>
      <c r="H846" t="s">
        <v>753</v>
      </c>
      <c r="I846">
        <v>0</v>
      </c>
      <c r="J846">
        <v>0</v>
      </c>
      <c r="K846">
        <v>0</v>
      </c>
      <c r="L846">
        <v>200</v>
      </c>
      <c r="M846">
        <v>0</v>
      </c>
      <c r="N846">
        <v>30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>
        <v>0</v>
      </c>
      <c r="Z846">
        <v>0</v>
      </c>
      <c r="AA846">
        <v>0</v>
      </c>
      <c r="AB846" t="s">
        <v>1880</v>
      </c>
    </row>
    <row r="847" spans="1:28" x14ac:dyDescent="0.25">
      <c r="H847" t="s">
        <v>1881</v>
      </c>
    </row>
    <row r="848" spans="1:28" x14ac:dyDescent="0.25">
      <c r="A848">
        <v>421</v>
      </c>
      <c r="B848">
        <v>4974</v>
      </c>
      <c r="C848" t="s">
        <v>1882</v>
      </c>
      <c r="D848" t="s">
        <v>393</v>
      </c>
      <c r="E848" t="s">
        <v>14</v>
      </c>
      <c r="F848" t="s">
        <v>1883</v>
      </c>
      <c r="G848" t="str">
        <f>"200802010653"</f>
        <v>200802010653</v>
      </c>
      <c r="H848" t="s">
        <v>865</v>
      </c>
      <c r="I848">
        <v>0</v>
      </c>
      <c r="J848">
        <v>0</v>
      </c>
      <c r="K848">
        <v>0</v>
      </c>
      <c r="L848">
        <v>260</v>
      </c>
      <c r="M848">
        <v>0</v>
      </c>
      <c r="N848">
        <v>70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>
        <v>0</v>
      </c>
      <c r="Z848">
        <v>0</v>
      </c>
      <c r="AA848">
        <v>0</v>
      </c>
      <c r="AB848" t="s">
        <v>1884</v>
      </c>
    </row>
    <row r="849" spans="1:28" x14ac:dyDescent="0.25">
      <c r="H849" t="s">
        <v>1885</v>
      </c>
    </row>
    <row r="850" spans="1:28" x14ac:dyDescent="0.25">
      <c r="A850">
        <v>422</v>
      </c>
      <c r="B850">
        <v>1007</v>
      </c>
      <c r="C850" t="s">
        <v>1886</v>
      </c>
      <c r="D850" t="s">
        <v>1240</v>
      </c>
      <c r="E850" t="s">
        <v>50</v>
      </c>
      <c r="F850" t="s">
        <v>1887</v>
      </c>
      <c r="G850" t="str">
        <f>"201412004436"</f>
        <v>201412004436</v>
      </c>
      <c r="H850" t="s">
        <v>1888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50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>
        <v>0</v>
      </c>
      <c r="Z850">
        <v>18</v>
      </c>
      <c r="AA850">
        <v>306</v>
      </c>
      <c r="AB850" t="s">
        <v>1889</v>
      </c>
    </row>
    <row r="851" spans="1:28" x14ac:dyDescent="0.25">
      <c r="H851" t="s">
        <v>1890</v>
      </c>
    </row>
    <row r="852" spans="1:28" x14ac:dyDescent="0.25">
      <c r="A852">
        <v>423</v>
      </c>
      <c r="B852">
        <v>1318</v>
      </c>
      <c r="C852" t="s">
        <v>1891</v>
      </c>
      <c r="D852" t="s">
        <v>20</v>
      </c>
      <c r="E852" t="s">
        <v>38</v>
      </c>
      <c r="F852" t="s">
        <v>1892</v>
      </c>
      <c r="G852" t="str">
        <f>"201406011960"</f>
        <v>201406011960</v>
      </c>
      <c r="H852" t="s">
        <v>583</v>
      </c>
      <c r="I852">
        <v>0</v>
      </c>
      <c r="J852">
        <v>0</v>
      </c>
      <c r="K852">
        <v>0</v>
      </c>
      <c r="L852">
        <v>200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>
        <v>0</v>
      </c>
      <c r="Z852">
        <v>0</v>
      </c>
      <c r="AA852">
        <v>0</v>
      </c>
      <c r="AB852" t="s">
        <v>1893</v>
      </c>
    </row>
    <row r="853" spans="1:28" x14ac:dyDescent="0.25">
      <c r="H853" t="s">
        <v>409</v>
      </c>
    </row>
    <row r="854" spans="1:28" x14ac:dyDescent="0.25">
      <c r="A854">
        <v>424</v>
      </c>
      <c r="B854">
        <v>846</v>
      </c>
      <c r="C854" t="s">
        <v>1894</v>
      </c>
      <c r="D854" t="s">
        <v>179</v>
      </c>
      <c r="E854" t="s">
        <v>1895</v>
      </c>
      <c r="F854" t="s">
        <v>1896</v>
      </c>
      <c r="G854" t="str">
        <f>"201111000099"</f>
        <v>201111000099</v>
      </c>
      <c r="H854">
        <v>825</v>
      </c>
      <c r="I854">
        <v>0</v>
      </c>
      <c r="J854">
        <v>0</v>
      </c>
      <c r="K854">
        <v>0</v>
      </c>
      <c r="L854">
        <v>0</v>
      </c>
      <c r="M854">
        <v>100</v>
      </c>
      <c r="N854">
        <v>70</v>
      </c>
      <c r="O854">
        <v>0</v>
      </c>
      <c r="P854">
        <v>30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>
        <v>0</v>
      </c>
      <c r="Z854">
        <v>0</v>
      </c>
      <c r="AA854">
        <v>0</v>
      </c>
      <c r="AB854">
        <v>1025</v>
      </c>
    </row>
    <row r="855" spans="1:28" x14ac:dyDescent="0.25">
      <c r="H855" t="s">
        <v>1897</v>
      </c>
    </row>
    <row r="856" spans="1:28" x14ac:dyDescent="0.25">
      <c r="A856">
        <v>425</v>
      </c>
      <c r="B856">
        <v>1446</v>
      </c>
      <c r="C856" t="s">
        <v>1898</v>
      </c>
      <c r="D856" t="s">
        <v>1010</v>
      </c>
      <c r="E856" t="s">
        <v>20</v>
      </c>
      <c r="F856" t="s">
        <v>1899</v>
      </c>
      <c r="G856" t="str">
        <f>"201406014305"</f>
        <v>201406014305</v>
      </c>
      <c r="H856">
        <v>715</v>
      </c>
      <c r="I856">
        <v>0</v>
      </c>
      <c r="J856">
        <v>0</v>
      </c>
      <c r="K856">
        <v>0</v>
      </c>
      <c r="L856">
        <v>260</v>
      </c>
      <c r="M856">
        <v>0</v>
      </c>
      <c r="N856">
        <v>50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1</v>
      </c>
      <c r="Y856">
        <v>0</v>
      </c>
      <c r="Z856">
        <v>0</v>
      </c>
      <c r="AA856">
        <v>0</v>
      </c>
      <c r="AB856">
        <v>1025</v>
      </c>
    </row>
    <row r="857" spans="1:28" x14ac:dyDescent="0.25">
      <c r="H857" t="s">
        <v>1900</v>
      </c>
    </row>
    <row r="858" spans="1:28" x14ac:dyDescent="0.25">
      <c r="A858">
        <v>426</v>
      </c>
      <c r="B858">
        <v>4741</v>
      </c>
      <c r="C858" t="s">
        <v>1901</v>
      </c>
      <c r="D858" t="s">
        <v>757</v>
      </c>
      <c r="E858" t="s">
        <v>51</v>
      </c>
      <c r="F858" t="s">
        <v>1902</v>
      </c>
      <c r="G858" t="str">
        <f>"201304001453"</f>
        <v>201304001453</v>
      </c>
      <c r="H858" t="s">
        <v>1903</v>
      </c>
      <c r="I858">
        <v>0</v>
      </c>
      <c r="J858">
        <v>0</v>
      </c>
      <c r="K858">
        <v>0</v>
      </c>
      <c r="L858">
        <v>200</v>
      </c>
      <c r="M858">
        <v>0</v>
      </c>
      <c r="N858">
        <v>70</v>
      </c>
      <c r="O858">
        <v>0</v>
      </c>
      <c r="P858">
        <v>30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>
        <v>0</v>
      </c>
      <c r="Z858">
        <v>0</v>
      </c>
      <c r="AA858">
        <v>0</v>
      </c>
      <c r="AB858" t="s">
        <v>1904</v>
      </c>
    </row>
    <row r="859" spans="1:28" x14ac:dyDescent="0.25">
      <c r="H859" t="s">
        <v>1905</v>
      </c>
    </row>
    <row r="860" spans="1:28" x14ac:dyDescent="0.25">
      <c r="A860">
        <v>427</v>
      </c>
      <c r="B860">
        <v>1296</v>
      </c>
      <c r="C860" t="s">
        <v>1906</v>
      </c>
      <c r="D860" t="s">
        <v>50</v>
      </c>
      <c r="E860" t="s">
        <v>20</v>
      </c>
      <c r="F860" t="s">
        <v>1907</v>
      </c>
      <c r="G860" t="str">
        <f>"201303000725"</f>
        <v>201303000725</v>
      </c>
      <c r="H860" t="s">
        <v>1903</v>
      </c>
      <c r="I860">
        <v>0</v>
      </c>
      <c r="J860">
        <v>0</v>
      </c>
      <c r="K860">
        <v>0</v>
      </c>
      <c r="L860">
        <v>200</v>
      </c>
      <c r="M860">
        <v>0</v>
      </c>
      <c r="N860">
        <v>70</v>
      </c>
      <c r="O860">
        <v>0</v>
      </c>
      <c r="P860">
        <v>30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0</v>
      </c>
      <c r="Y860">
        <v>0</v>
      </c>
      <c r="Z860">
        <v>0</v>
      </c>
      <c r="AA860">
        <v>0</v>
      </c>
      <c r="AB860" t="s">
        <v>1904</v>
      </c>
    </row>
    <row r="861" spans="1:28" x14ac:dyDescent="0.25">
      <c r="H861" t="s">
        <v>1908</v>
      </c>
    </row>
    <row r="862" spans="1:28" x14ac:dyDescent="0.25">
      <c r="A862">
        <v>428</v>
      </c>
      <c r="B862">
        <v>3334</v>
      </c>
      <c r="C862" t="s">
        <v>1909</v>
      </c>
      <c r="D862" t="s">
        <v>1910</v>
      </c>
      <c r="E862" t="s">
        <v>930</v>
      </c>
      <c r="F862" t="s">
        <v>1911</v>
      </c>
      <c r="G862" t="str">
        <f>"201506001426"</f>
        <v>201506001426</v>
      </c>
      <c r="H862" t="s">
        <v>1912</v>
      </c>
      <c r="I862">
        <v>0</v>
      </c>
      <c r="J862">
        <v>0</v>
      </c>
      <c r="K862">
        <v>0</v>
      </c>
      <c r="L862">
        <v>200</v>
      </c>
      <c r="M862">
        <v>0</v>
      </c>
      <c r="N862">
        <v>70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>
        <v>0</v>
      </c>
      <c r="Z862">
        <v>0</v>
      </c>
      <c r="AA862">
        <v>0</v>
      </c>
      <c r="AB862" t="s">
        <v>1913</v>
      </c>
    </row>
    <row r="863" spans="1:28" x14ac:dyDescent="0.25">
      <c r="H863" t="s">
        <v>1914</v>
      </c>
    </row>
    <row r="864" spans="1:28" x14ac:dyDescent="0.25">
      <c r="A864">
        <v>429</v>
      </c>
      <c r="B864">
        <v>1925</v>
      </c>
      <c r="C864" t="s">
        <v>1915</v>
      </c>
      <c r="D864" t="s">
        <v>202</v>
      </c>
      <c r="E864" t="s">
        <v>32</v>
      </c>
      <c r="F864" t="s">
        <v>1916</v>
      </c>
      <c r="G864" t="str">
        <f>"201304004610"</f>
        <v>201304004610</v>
      </c>
      <c r="H864" t="s">
        <v>1912</v>
      </c>
      <c r="I864">
        <v>0</v>
      </c>
      <c r="J864">
        <v>0</v>
      </c>
      <c r="K864">
        <v>0</v>
      </c>
      <c r="L864">
        <v>200</v>
      </c>
      <c r="M864">
        <v>0</v>
      </c>
      <c r="N864">
        <v>70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>
        <v>0</v>
      </c>
      <c r="Z864">
        <v>0</v>
      </c>
      <c r="AA864">
        <v>0</v>
      </c>
      <c r="AB864" t="s">
        <v>1913</v>
      </c>
    </row>
    <row r="865" spans="1:28" x14ac:dyDescent="0.25">
      <c r="H865" t="s">
        <v>1917</v>
      </c>
    </row>
    <row r="866" spans="1:28" x14ac:dyDescent="0.25">
      <c r="A866">
        <v>430</v>
      </c>
      <c r="B866">
        <v>2421</v>
      </c>
      <c r="C866" t="s">
        <v>1918</v>
      </c>
      <c r="D866" t="s">
        <v>69</v>
      </c>
      <c r="E866" t="s">
        <v>1919</v>
      </c>
      <c r="F866" t="s">
        <v>1920</v>
      </c>
      <c r="G866" t="str">
        <f>"00359956"</f>
        <v>00359956</v>
      </c>
      <c r="H866" t="s">
        <v>608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>
        <v>0</v>
      </c>
      <c r="Z866">
        <v>12</v>
      </c>
      <c r="AA866">
        <v>204</v>
      </c>
      <c r="AB866" t="s">
        <v>1921</v>
      </c>
    </row>
    <row r="867" spans="1:28" x14ac:dyDescent="0.25">
      <c r="H867" t="s">
        <v>1922</v>
      </c>
    </row>
    <row r="868" spans="1:28" x14ac:dyDescent="0.25">
      <c r="A868">
        <v>431</v>
      </c>
      <c r="B868">
        <v>3666</v>
      </c>
      <c r="C868" t="s">
        <v>1923</v>
      </c>
      <c r="D868" t="s">
        <v>14</v>
      </c>
      <c r="E868" t="s">
        <v>38</v>
      </c>
      <c r="F868" t="s">
        <v>1924</v>
      </c>
      <c r="G868" t="str">
        <f>"201402012024"</f>
        <v>201402012024</v>
      </c>
      <c r="H868">
        <v>693</v>
      </c>
      <c r="I868">
        <v>0</v>
      </c>
      <c r="J868">
        <v>0</v>
      </c>
      <c r="K868">
        <v>0</v>
      </c>
      <c r="L868">
        <v>260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1</v>
      </c>
      <c r="Y868">
        <v>0</v>
      </c>
      <c r="Z868">
        <v>0</v>
      </c>
      <c r="AA868">
        <v>0</v>
      </c>
      <c r="AB868">
        <v>1023</v>
      </c>
    </row>
    <row r="869" spans="1:28" x14ac:dyDescent="0.25">
      <c r="H869" t="s">
        <v>1925</v>
      </c>
    </row>
    <row r="870" spans="1:28" x14ac:dyDescent="0.25">
      <c r="A870">
        <v>432</v>
      </c>
      <c r="B870">
        <v>2186</v>
      </c>
      <c r="C870" t="s">
        <v>1926</v>
      </c>
      <c r="D870" t="s">
        <v>1927</v>
      </c>
      <c r="E870" t="s">
        <v>69</v>
      </c>
      <c r="F870" t="s">
        <v>1928</v>
      </c>
      <c r="G870" t="str">
        <f>"201409000419"</f>
        <v>201409000419</v>
      </c>
      <c r="H870" t="s">
        <v>267</v>
      </c>
      <c r="I870">
        <v>0</v>
      </c>
      <c r="J870">
        <v>0</v>
      </c>
      <c r="K870">
        <v>0</v>
      </c>
      <c r="L870">
        <v>200</v>
      </c>
      <c r="M870">
        <v>0</v>
      </c>
      <c r="N870">
        <v>70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>
        <v>0</v>
      </c>
      <c r="Z870">
        <v>0</v>
      </c>
      <c r="AA870">
        <v>0</v>
      </c>
      <c r="AB870" t="s">
        <v>1929</v>
      </c>
    </row>
    <row r="871" spans="1:28" x14ac:dyDescent="0.25">
      <c r="H871" t="s">
        <v>1930</v>
      </c>
    </row>
    <row r="872" spans="1:28" x14ac:dyDescent="0.25">
      <c r="A872">
        <v>433</v>
      </c>
      <c r="B872">
        <v>3624</v>
      </c>
      <c r="C872" t="s">
        <v>1931</v>
      </c>
      <c r="D872" t="s">
        <v>339</v>
      </c>
      <c r="E872" t="s">
        <v>14</v>
      </c>
      <c r="F872" t="s">
        <v>1932</v>
      </c>
      <c r="G872" t="str">
        <f>"00172312"</f>
        <v>00172312</v>
      </c>
      <c r="H872" t="s">
        <v>368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70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>
        <v>0</v>
      </c>
      <c r="Z872">
        <v>0</v>
      </c>
      <c r="AA872">
        <v>0</v>
      </c>
      <c r="AB872" t="s">
        <v>1933</v>
      </c>
    </row>
    <row r="873" spans="1:28" x14ac:dyDescent="0.25">
      <c r="H873">
        <v>1009</v>
      </c>
    </row>
    <row r="874" spans="1:28" x14ac:dyDescent="0.25">
      <c r="A874">
        <v>434</v>
      </c>
      <c r="B874">
        <v>2169</v>
      </c>
      <c r="C874" t="s">
        <v>1934</v>
      </c>
      <c r="D874" t="s">
        <v>1935</v>
      </c>
      <c r="E874" t="s">
        <v>1936</v>
      </c>
      <c r="F874" t="s">
        <v>1937</v>
      </c>
      <c r="G874" t="str">
        <f>"00166089"</f>
        <v>00166089</v>
      </c>
      <c r="H874" t="s">
        <v>1938</v>
      </c>
      <c r="I874">
        <v>0</v>
      </c>
      <c r="J874">
        <v>0</v>
      </c>
      <c r="K874">
        <v>0</v>
      </c>
      <c r="L874">
        <v>0</v>
      </c>
      <c r="M874">
        <v>100</v>
      </c>
      <c r="N874">
        <v>30</v>
      </c>
      <c r="O874">
        <v>0</v>
      </c>
      <c r="P874">
        <v>0</v>
      </c>
      <c r="Q874">
        <v>50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>
        <v>0</v>
      </c>
      <c r="Z874">
        <v>0</v>
      </c>
      <c r="AA874">
        <v>0</v>
      </c>
      <c r="AB874" t="s">
        <v>1939</v>
      </c>
    </row>
    <row r="875" spans="1:28" x14ac:dyDescent="0.25">
      <c r="H875" t="s">
        <v>605</v>
      </c>
    </row>
    <row r="876" spans="1:28" x14ac:dyDescent="0.25">
      <c r="A876">
        <v>435</v>
      </c>
      <c r="B876">
        <v>3890</v>
      </c>
      <c r="C876" t="s">
        <v>1940</v>
      </c>
      <c r="D876" t="s">
        <v>14</v>
      </c>
      <c r="E876" t="s">
        <v>80</v>
      </c>
      <c r="F876" t="s">
        <v>1941</v>
      </c>
      <c r="G876" t="str">
        <f>"200811000055"</f>
        <v>200811000055</v>
      </c>
      <c r="H876">
        <v>770</v>
      </c>
      <c r="I876">
        <v>0</v>
      </c>
      <c r="J876">
        <v>0</v>
      </c>
      <c r="K876">
        <v>0</v>
      </c>
      <c r="L876">
        <v>200</v>
      </c>
      <c r="M876">
        <v>0</v>
      </c>
      <c r="N876">
        <v>50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>
        <v>0</v>
      </c>
      <c r="Z876">
        <v>0</v>
      </c>
      <c r="AA876">
        <v>0</v>
      </c>
      <c r="AB876">
        <v>1020</v>
      </c>
    </row>
    <row r="877" spans="1:28" x14ac:dyDescent="0.25">
      <c r="H877" t="s">
        <v>1942</v>
      </c>
    </row>
    <row r="878" spans="1:28" x14ac:dyDescent="0.25">
      <c r="A878">
        <v>436</v>
      </c>
      <c r="B878">
        <v>3078</v>
      </c>
      <c r="C878" t="s">
        <v>1943</v>
      </c>
      <c r="D878" t="s">
        <v>1944</v>
      </c>
      <c r="E878" t="s">
        <v>15</v>
      </c>
      <c r="F878" t="s">
        <v>1945</v>
      </c>
      <c r="G878" t="str">
        <f>"201410000435"</f>
        <v>201410000435</v>
      </c>
      <c r="H878" t="s">
        <v>608</v>
      </c>
      <c r="I878">
        <v>0</v>
      </c>
      <c r="J878">
        <v>0</v>
      </c>
      <c r="K878">
        <v>0</v>
      </c>
      <c r="L878">
        <v>200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>
        <v>0</v>
      </c>
      <c r="Z878">
        <v>0</v>
      </c>
      <c r="AA878">
        <v>0</v>
      </c>
      <c r="AB878" t="s">
        <v>1946</v>
      </c>
    </row>
    <row r="879" spans="1:28" x14ac:dyDescent="0.25">
      <c r="H879" t="s">
        <v>1947</v>
      </c>
    </row>
    <row r="880" spans="1:28" x14ac:dyDescent="0.25">
      <c r="A880">
        <v>437</v>
      </c>
      <c r="B880">
        <v>4619</v>
      </c>
      <c r="C880" t="s">
        <v>1948</v>
      </c>
      <c r="D880" t="s">
        <v>187</v>
      </c>
      <c r="E880" t="s">
        <v>80</v>
      </c>
      <c r="F880" t="s">
        <v>1949</v>
      </c>
      <c r="G880" t="str">
        <f>"201409000055"</f>
        <v>201409000055</v>
      </c>
      <c r="H880" t="s">
        <v>208</v>
      </c>
      <c r="I880">
        <v>0</v>
      </c>
      <c r="J880">
        <v>0</v>
      </c>
      <c r="K880">
        <v>0</v>
      </c>
      <c r="L880">
        <v>200</v>
      </c>
      <c r="M880">
        <v>0</v>
      </c>
      <c r="N880">
        <v>50</v>
      </c>
      <c r="O880">
        <v>0</v>
      </c>
      <c r="P880">
        <v>0</v>
      </c>
      <c r="Q880">
        <v>0</v>
      </c>
      <c r="R880">
        <v>30</v>
      </c>
      <c r="S880">
        <v>0</v>
      </c>
      <c r="T880">
        <v>0</v>
      </c>
      <c r="U880">
        <v>0</v>
      </c>
      <c r="V880">
        <v>0</v>
      </c>
      <c r="X880">
        <v>0</v>
      </c>
      <c r="Y880">
        <v>0</v>
      </c>
      <c r="Z880">
        <v>0</v>
      </c>
      <c r="AA880">
        <v>0</v>
      </c>
      <c r="AB880" t="s">
        <v>1950</v>
      </c>
    </row>
    <row r="881" spans="1:28" x14ac:dyDescent="0.25">
      <c r="H881" t="s">
        <v>1951</v>
      </c>
    </row>
    <row r="882" spans="1:28" x14ac:dyDescent="0.25">
      <c r="A882">
        <v>438</v>
      </c>
      <c r="B882">
        <v>2698</v>
      </c>
      <c r="C882" t="s">
        <v>1952</v>
      </c>
      <c r="D882" t="s">
        <v>366</v>
      </c>
      <c r="E882" t="s">
        <v>1180</v>
      </c>
      <c r="F882" t="s">
        <v>1953</v>
      </c>
      <c r="G882" t="str">
        <f>"201506002758"</f>
        <v>201506002758</v>
      </c>
      <c r="H882" t="s">
        <v>284</v>
      </c>
      <c r="I882">
        <v>0</v>
      </c>
      <c r="J882">
        <v>0</v>
      </c>
      <c r="K882">
        <v>0</v>
      </c>
      <c r="L882">
        <v>200</v>
      </c>
      <c r="M882">
        <v>0</v>
      </c>
      <c r="N882">
        <v>70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>
        <v>0</v>
      </c>
      <c r="Z882">
        <v>0</v>
      </c>
      <c r="AA882">
        <v>0</v>
      </c>
      <c r="AB882" t="s">
        <v>1954</v>
      </c>
    </row>
    <row r="883" spans="1:28" x14ac:dyDescent="0.25">
      <c r="H883" t="s">
        <v>1955</v>
      </c>
    </row>
    <row r="884" spans="1:28" x14ac:dyDescent="0.25">
      <c r="A884">
        <v>439</v>
      </c>
      <c r="B884">
        <v>159</v>
      </c>
      <c r="C884" t="s">
        <v>1956</v>
      </c>
      <c r="D884" t="s">
        <v>387</v>
      </c>
      <c r="E884" t="s">
        <v>14</v>
      </c>
      <c r="F884" t="s">
        <v>1957</v>
      </c>
      <c r="G884" t="str">
        <f>"00244162"</f>
        <v>00244162</v>
      </c>
      <c r="H884" t="s">
        <v>1958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30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>
        <v>0</v>
      </c>
      <c r="Z884">
        <v>0</v>
      </c>
      <c r="AA884">
        <v>0</v>
      </c>
      <c r="AB884" t="s">
        <v>1959</v>
      </c>
    </row>
    <row r="885" spans="1:28" x14ac:dyDescent="0.25">
      <c r="H885" t="s">
        <v>1960</v>
      </c>
    </row>
    <row r="886" spans="1:28" x14ac:dyDescent="0.25">
      <c r="A886">
        <v>440</v>
      </c>
      <c r="B886">
        <v>2222</v>
      </c>
      <c r="C886" t="s">
        <v>1961</v>
      </c>
      <c r="D886" t="s">
        <v>70</v>
      </c>
      <c r="E886" t="s">
        <v>277</v>
      </c>
      <c r="F886" t="s">
        <v>1962</v>
      </c>
      <c r="G886" t="str">
        <f>"201406014005"</f>
        <v>201406014005</v>
      </c>
      <c r="H886">
        <v>748</v>
      </c>
      <c r="I886">
        <v>0</v>
      </c>
      <c r="J886">
        <v>0</v>
      </c>
      <c r="K886">
        <v>0</v>
      </c>
      <c r="L886">
        <v>200</v>
      </c>
      <c r="M886">
        <v>0</v>
      </c>
      <c r="N886">
        <v>70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>
        <v>0</v>
      </c>
      <c r="Z886">
        <v>0</v>
      </c>
      <c r="AA886">
        <v>0</v>
      </c>
      <c r="AB886">
        <v>1018</v>
      </c>
    </row>
    <row r="887" spans="1:28" x14ac:dyDescent="0.25">
      <c r="H887" t="s">
        <v>1963</v>
      </c>
    </row>
    <row r="888" spans="1:28" x14ac:dyDescent="0.25">
      <c r="A888">
        <v>441</v>
      </c>
      <c r="B888">
        <v>4125</v>
      </c>
      <c r="C888" t="s">
        <v>186</v>
      </c>
      <c r="D888" t="s">
        <v>154</v>
      </c>
      <c r="E888" t="s">
        <v>14</v>
      </c>
      <c r="F888" t="s">
        <v>1964</v>
      </c>
      <c r="G888" t="str">
        <f>"201304002377"</f>
        <v>201304002377</v>
      </c>
      <c r="H888" t="s">
        <v>1965</v>
      </c>
      <c r="I888">
        <v>0</v>
      </c>
      <c r="J888">
        <v>0</v>
      </c>
      <c r="K888">
        <v>0</v>
      </c>
      <c r="L888">
        <v>200</v>
      </c>
      <c r="M888">
        <v>0</v>
      </c>
      <c r="N888">
        <v>70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>
        <v>0</v>
      </c>
      <c r="Z888">
        <v>0</v>
      </c>
      <c r="AA888">
        <v>0</v>
      </c>
      <c r="AB888" t="s">
        <v>1966</v>
      </c>
    </row>
    <row r="889" spans="1:28" x14ac:dyDescent="0.25">
      <c r="H889" t="s">
        <v>1967</v>
      </c>
    </row>
    <row r="890" spans="1:28" x14ac:dyDescent="0.25">
      <c r="A890">
        <v>442</v>
      </c>
      <c r="B890">
        <v>4471</v>
      </c>
      <c r="C890" t="s">
        <v>1968</v>
      </c>
      <c r="D890" t="s">
        <v>187</v>
      </c>
      <c r="E890" t="s">
        <v>212</v>
      </c>
      <c r="F890" t="s">
        <v>1969</v>
      </c>
      <c r="G890" t="str">
        <f>"201406015732"</f>
        <v>201406015732</v>
      </c>
      <c r="H890" t="s">
        <v>125</v>
      </c>
      <c r="I890">
        <v>0</v>
      </c>
      <c r="J890">
        <v>0</v>
      </c>
      <c r="K890">
        <v>0</v>
      </c>
      <c r="L890">
        <v>200</v>
      </c>
      <c r="M890">
        <v>0</v>
      </c>
      <c r="N890">
        <v>70</v>
      </c>
      <c r="O890">
        <v>0</v>
      </c>
      <c r="P890">
        <v>0</v>
      </c>
      <c r="Q890">
        <v>30</v>
      </c>
      <c r="R890">
        <v>0</v>
      </c>
      <c r="S890">
        <v>30</v>
      </c>
      <c r="T890">
        <v>0</v>
      </c>
      <c r="U890">
        <v>0</v>
      </c>
      <c r="V890">
        <v>0</v>
      </c>
      <c r="X890">
        <v>0</v>
      </c>
      <c r="Y890">
        <v>0</v>
      </c>
      <c r="Z890">
        <v>0</v>
      </c>
      <c r="AA890">
        <v>0</v>
      </c>
      <c r="AB890" t="s">
        <v>1970</v>
      </c>
    </row>
    <row r="891" spans="1:28" x14ac:dyDescent="0.25">
      <c r="H891" t="s">
        <v>1971</v>
      </c>
    </row>
    <row r="892" spans="1:28" x14ac:dyDescent="0.25">
      <c r="A892">
        <v>443</v>
      </c>
      <c r="B892">
        <v>4266</v>
      </c>
      <c r="C892" t="s">
        <v>1972</v>
      </c>
      <c r="D892" t="s">
        <v>417</v>
      </c>
      <c r="E892" t="s">
        <v>51</v>
      </c>
      <c r="F892" t="s">
        <v>1973</v>
      </c>
      <c r="G892" t="str">
        <f>"201511023027"</f>
        <v>201511023027</v>
      </c>
      <c r="H892" t="s">
        <v>696</v>
      </c>
      <c r="I892">
        <v>0</v>
      </c>
      <c r="J892">
        <v>0</v>
      </c>
      <c r="K892">
        <v>0</v>
      </c>
      <c r="L892">
        <v>200</v>
      </c>
      <c r="M892">
        <v>0</v>
      </c>
      <c r="N892">
        <v>70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>
        <v>0</v>
      </c>
      <c r="Z892">
        <v>0</v>
      </c>
      <c r="AA892">
        <v>0</v>
      </c>
      <c r="AB892" t="s">
        <v>1974</v>
      </c>
    </row>
    <row r="893" spans="1:28" x14ac:dyDescent="0.25">
      <c r="H893" t="s">
        <v>1975</v>
      </c>
    </row>
    <row r="894" spans="1:28" x14ac:dyDescent="0.25">
      <c r="A894">
        <v>444</v>
      </c>
      <c r="B894">
        <v>2616</v>
      </c>
      <c r="C894" t="s">
        <v>1976</v>
      </c>
      <c r="D894" t="s">
        <v>265</v>
      </c>
      <c r="E894" t="s">
        <v>117</v>
      </c>
      <c r="F894" t="s">
        <v>1977</v>
      </c>
      <c r="G894" t="str">
        <f>"201406010283"</f>
        <v>201406010283</v>
      </c>
      <c r="H894" t="s">
        <v>696</v>
      </c>
      <c r="I894">
        <v>0</v>
      </c>
      <c r="J894">
        <v>0</v>
      </c>
      <c r="K894">
        <v>0</v>
      </c>
      <c r="L894">
        <v>200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>
        <v>0</v>
      </c>
      <c r="Z894">
        <v>0</v>
      </c>
      <c r="AA894">
        <v>0</v>
      </c>
      <c r="AB894" t="s">
        <v>1974</v>
      </c>
    </row>
    <row r="895" spans="1:28" x14ac:dyDescent="0.25">
      <c r="H895" t="s">
        <v>1978</v>
      </c>
    </row>
    <row r="896" spans="1:28" x14ac:dyDescent="0.25">
      <c r="A896">
        <v>445</v>
      </c>
      <c r="B896">
        <v>944</v>
      </c>
      <c r="C896" t="s">
        <v>1979</v>
      </c>
      <c r="D896" t="s">
        <v>80</v>
      </c>
      <c r="E896" t="s">
        <v>14</v>
      </c>
      <c r="F896" t="s">
        <v>1980</v>
      </c>
      <c r="G896" t="str">
        <f>"201504004770"</f>
        <v>201504004770</v>
      </c>
      <c r="H896" t="s">
        <v>696</v>
      </c>
      <c r="I896">
        <v>0</v>
      </c>
      <c r="J896">
        <v>0</v>
      </c>
      <c r="K896">
        <v>0</v>
      </c>
      <c r="L896">
        <v>200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0</v>
      </c>
      <c r="Z896">
        <v>0</v>
      </c>
      <c r="AA896">
        <v>0</v>
      </c>
      <c r="AB896" t="s">
        <v>1974</v>
      </c>
    </row>
    <row r="897" spans="1:28" x14ac:dyDescent="0.25">
      <c r="H897" t="s">
        <v>1981</v>
      </c>
    </row>
    <row r="898" spans="1:28" x14ac:dyDescent="0.25">
      <c r="A898">
        <v>446</v>
      </c>
      <c r="B898">
        <v>799</v>
      </c>
      <c r="C898" t="s">
        <v>1982</v>
      </c>
      <c r="D898" t="s">
        <v>762</v>
      </c>
      <c r="E898" t="s">
        <v>80</v>
      </c>
      <c r="F898" t="s">
        <v>1983</v>
      </c>
      <c r="G898" t="str">
        <f>"201602000215"</f>
        <v>201602000215</v>
      </c>
      <c r="H898" t="s">
        <v>1714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50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>
        <v>0</v>
      </c>
      <c r="Z898">
        <v>13</v>
      </c>
      <c r="AA898">
        <v>221</v>
      </c>
      <c r="AB898" t="s">
        <v>1984</v>
      </c>
    </row>
    <row r="899" spans="1:28" x14ac:dyDescent="0.25">
      <c r="H899" t="s">
        <v>1478</v>
      </c>
    </row>
    <row r="900" spans="1:28" x14ac:dyDescent="0.25">
      <c r="A900">
        <v>447</v>
      </c>
      <c r="B900">
        <v>2836</v>
      </c>
      <c r="C900" t="s">
        <v>1985</v>
      </c>
      <c r="D900" t="s">
        <v>109</v>
      </c>
      <c r="E900" t="s">
        <v>20</v>
      </c>
      <c r="F900" t="s">
        <v>1986</v>
      </c>
      <c r="G900" t="str">
        <f>"200802000621"</f>
        <v>200802000621</v>
      </c>
      <c r="H900" t="s">
        <v>898</v>
      </c>
      <c r="I900">
        <v>0</v>
      </c>
      <c r="J900">
        <v>0</v>
      </c>
      <c r="K900">
        <v>0</v>
      </c>
      <c r="L900">
        <v>200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>
        <v>0</v>
      </c>
      <c r="Z900">
        <v>0</v>
      </c>
      <c r="AA900">
        <v>0</v>
      </c>
      <c r="AB900" t="s">
        <v>1987</v>
      </c>
    </row>
    <row r="901" spans="1:28" x14ac:dyDescent="0.25">
      <c r="H901" t="s">
        <v>1988</v>
      </c>
    </row>
    <row r="902" spans="1:28" x14ac:dyDescent="0.25">
      <c r="A902">
        <v>448</v>
      </c>
      <c r="B902">
        <v>1068</v>
      </c>
      <c r="C902" t="s">
        <v>1989</v>
      </c>
      <c r="D902" t="s">
        <v>480</v>
      </c>
      <c r="E902" t="s">
        <v>154</v>
      </c>
      <c r="F902" t="s">
        <v>1990</v>
      </c>
      <c r="G902" t="str">
        <f>"201406013381"</f>
        <v>201406013381</v>
      </c>
      <c r="H902" t="s">
        <v>1497</v>
      </c>
      <c r="I902">
        <v>0</v>
      </c>
      <c r="J902">
        <v>0</v>
      </c>
      <c r="K902">
        <v>0</v>
      </c>
      <c r="L902">
        <v>200</v>
      </c>
      <c r="M902">
        <v>0</v>
      </c>
      <c r="N902">
        <v>70</v>
      </c>
      <c r="O902">
        <v>0</v>
      </c>
      <c r="P902">
        <v>30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>
        <v>0</v>
      </c>
      <c r="Z902">
        <v>0</v>
      </c>
      <c r="AA902">
        <v>0</v>
      </c>
      <c r="AB902" t="s">
        <v>1991</v>
      </c>
    </row>
    <row r="903" spans="1:28" x14ac:dyDescent="0.25">
      <c r="H903" t="s">
        <v>1992</v>
      </c>
    </row>
    <row r="904" spans="1:28" x14ac:dyDescent="0.25">
      <c r="A904">
        <v>449</v>
      </c>
      <c r="B904">
        <v>5070</v>
      </c>
      <c r="C904" t="s">
        <v>1993</v>
      </c>
      <c r="D904" t="s">
        <v>19</v>
      </c>
      <c r="E904" t="s">
        <v>85</v>
      </c>
      <c r="F904" t="s">
        <v>1994</v>
      </c>
      <c r="G904" t="str">
        <f>"201412003561"</f>
        <v>201412003561</v>
      </c>
      <c r="H904" t="s">
        <v>1714</v>
      </c>
      <c r="I904">
        <v>0</v>
      </c>
      <c r="J904">
        <v>0</v>
      </c>
      <c r="K904">
        <v>0</v>
      </c>
      <c r="L904">
        <v>200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>
        <v>0</v>
      </c>
      <c r="Z904">
        <v>0</v>
      </c>
      <c r="AA904">
        <v>0</v>
      </c>
      <c r="AB904" t="s">
        <v>1995</v>
      </c>
    </row>
    <row r="905" spans="1:28" x14ac:dyDescent="0.25">
      <c r="H905" t="s">
        <v>421</v>
      </c>
    </row>
    <row r="906" spans="1:28" x14ac:dyDescent="0.25">
      <c r="A906">
        <v>450</v>
      </c>
      <c r="B906">
        <v>385</v>
      </c>
      <c r="C906" t="s">
        <v>315</v>
      </c>
      <c r="D906" t="s">
        <v>387</v>
      </c>
      <c r="E906" t="s">
        <v>1996</v>
      </c>
      <c r="F906" t="s">
        <v>1997</v>
      </c>
      <c r="G906" t="str">
        <f>"201008000015"</f>
        <v>201008000015</v>
      </c>
      <c r="H906" t="s">
        <v>712</v>
      </c>
      <c r="I906">
        <v>0</v>
      </c>
      <c r="J906">
        <v>0</v>
      </c>
      <c r="K906">
        <v>0</v>
      </c>
      <c r="L906">
        <v>200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>
        <v>0</v>
      </c>
      <c r="Z906">
        <v>0</v>
      </c>
      <c r="AA906">
        <v>0</v>
      </c>
      <c r="AB906" t="s">
        <v>1998</v>
      </c>
    </row>
    <row r="907" spans="1:28" x14ac:dyDescent="0.25">
      <c r="H907" t="s">
        <v>152</v>
      </c>
    </row>
    <row r="908" spans="1:28" x14ac:dyDescent="0.25">
      <c r="A908">
        <v>451</v>
      </c>
      <c r="B908">
        <v>2395</v>
      </c>
      <c r="C908" t="s">
        <v>1073</v>
      </c>
      <c r="D908" t="s">
        <v>1999</v>
      </c>
      <c r="E908" t="s">
        <v>155</v>
      </c>
      <c r="F908" t="s">
        <v>2000</v>
      </c>
      <c r="G908" t="str">
        <f>"201406017713"</f>
        <v>201406017713</v>
      </c>
      <c r="H908" t="s">
        <v>2001</v>
      </c>
      <c r="I908">
        <v>0</v>
      </c>
      <c r="J908">
        <v>0</v>
      </c>
      <c r="K908">
        <v>0</v>
      </c>
      <c r="L908">
        <v>200</v>
      </c>
      <c r="M908">
        <v>0</v>
      </c>
      <c r="N908">
        <v>70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>
        <v>0</v>
      </c>
      <c r="Z908">
        <v>0</v>
      </c>
      <c r="AA908">
        <v>0</v>
      </c>
      <c r="AB908" t="s">
        <v>2002</v>
      </c>
    </row>
    <row r="909" spans="1:28" x14ac:dyDescent="0.25">
      <c r="H909" t="s">
        <v>2003</v>
      </c>
    </row>
    <row r="910" spans="1:28" x14ac:dyDescent="0.25">
      <c r="A910">
        <v>452</v>
      </c>
      <c r="B910">
        <v>3519</v>
      </c>
      <c r="C910" t="s">
        <v>2004</v>
      </c>
      <c r="D910" t="s">
        <v>70</v>
      </c>
      <c r="E910" t="s">
        <v>840</v>
      </c>
      <c r="F910" t="s">
        <v>2005</v>
      </c>
      <c r="G910" t="str">
        <f>"201406016071"</f>
        <v>201406016071</v>
      </c>
      <c r="H910" t="s">
        <v>2001</v>
      </c>
      <c r="I910">
        <v>0</v>
      </c>
      <c r="J910">
        <v>0</v>
      </c>
      <c r="K910">
        <v>0</v>
      </c>
      <c r="L910">
        <v>200</v>
      </c>
      <c r="M910">
        <v>0</v>
      </c>
      <c r="N910">
        <v>70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>
        <v>0</v>
      </c>
      <c r="Z910">
        <v>0</v>
      </c>
      <c r="AA910">
        <v>0</v>
      </c>
      <c r="AB910" t="s">
        <v>2002</v>
      </c>
    </row>
    <row r="911" spans="1:28" x14ac:dyDescent="0.25">
      <c r="H911" t="s">
        <v>2006</v>
      </c>
    </row>
    <row r="912" spans="1:28" x14ac:dyDescent="0.25">
      <c r="A912">
        <v>453</v>
      </c>
      <c r="B912">
        <v>826</v>
      </c>
      <c r="C912" t="s">
        <v>2007</v>
      </c>
      <c r="D912" t="s">
        <v>84</v>
      </c>
      <c r="E912" t="s">
        <v>20</v>
      </c>
      <c r="F912" t="s">
        <v>2008</v>
      </c>
      <c r="G912" t="str">
        <f>"201410008017"</f>
        <v>201410008017</v>
      </c>
      <c r="H912" t="s">
        <v>2001</v>
      </c>
      <c r="I912">
        <v>0</v>
      </c>
      <c r="J912">
        <v>0</v>
      </c>
      <c r="K912">
        <v>0</v>
      </c>
      <c r="L912">
        <v>200</v>
      </c>
      <c r="M912">
        <v>0</v>
      </c>
      <c r="N912">
        <v>70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>
        <v>0</v>
      </c>
      <c r="Z912">
        <v>0</v>
      </c>
      <c r="AA912">
        <v>0</v>
      </c>
      <c r="AB912" t="s">
        <v>2002</v>
      </c>
    </row>
    <row r="913" spans="1:28" x14ac:dyDescent="0.25">
      <c r="H913" t="s">
        <v>2009</v>
      </c>
    </row>
    <row r="914" spans="1:28" x14ac:dyDescent="0.25">
      <c r="A914">
        <v>454</v>
      </c>
      <c r="B914">
        <v>3236</v>
      </c>
      <c r="C914" t="s">
        <v>2010</v>
      </c>
      <c r="D914" t="s">
        <v>2011</v>
      </c>
      <c r="E914" t="s">
        <v>14</v>
      </c>
      <c r="F914" t="s">
        <v>2012</v>
      </c>
      <c r="G914" t="str">
        <f>"201406007604"</f>
        <v>201406007604</v>
      </c>
      <c r="H914" t="s">
        <v>2001</v>
      </c>
      <c r="I914">
        <v>0</v>
      </c>
      <c r="J914">
        <v>0</v>
      </c>
      <c r="K914">
        <v>0</v>
      </c>
      <c r="L914">
        <v>0</v>
      </c>
      <c r="M914">
        <v>100</v>
      </c>
      <c r="N914">
        <v>70</v>
      </c>
      <c r="O914">
        <v>70</v>
      </c>
      <c r="P914">
        <v>0</v>
      </c>
      <c r="Q914">
        <v>0</v>
      </c>
      <c r="R914">
        <v>30</v>
      </c>
      <c r="S914">
        <v>0</v>
      </c>
      <c r="T914">
        <v>0</v>
      </c>
      <c r="U914">
        <v>0</v>
      </c>
      <c r="V914">
        <v>0</v>
      </c>
      <c r="X914">
        <v>1</v>
      </c>
      <c r="Y914">
        <v>0</v>
      </c>
      <c r="Z914">
        <v>0</v>
      </c>
      <c r="AA914">
        <v>0</v>
      </c>
      <c r="AB914" t="s">
        <v>2002</v>
      </c>
    </row>
    <row r="915" spans="1:28" x14ac:dyDescent="0.25">
      <c r="H915" t="s">
        <v>2013</v>
      </c>
    </row>
    <row r="916" spans="1:28" x14ac:dyDescent="0.25">
      <c r="A916">
        <v>455</v>
      </c>
      <c r="B916">
        <v>97</v>
      </c>
      <c r="C916" t="s">
        <v>2014</v>
      </c>
      <c r="D916" t="s">
        <v>480</v>
      </c>
      <c r="E916" t="s">
        <v>38</v>
      </c>
      <c r="F916" t="s">
        <v>2015</v>
      </c>
      <c r="G916" t="str">
        <f>"201406013979"</f>
        <v>201406013979</v>
      </c>
      <c r="H916" t="s">
        <v>521</v>
      </c>
      <c r="I916">
        <v>0</v>
      </c>
      <c r="J916">
        <v>0</v>
      </c>
      <c r="K916">
        <v>0</v>
      </c>
      <c r="L916">
        <v>200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>
        <v>0</v>
      </c>
      <c r="Z916">
        <v>0</v>
      </c>
      <c r="AA916">
        <v>0</v>
      </c>
      <c r="AB916" t="s">
        <v>2016</v>
      </c>
    </row>
    <row r="917" spans="1:28" x14ac:dyDescent="0.25">
      <c r="H917">
        <v>1009</v>
      </c>
    </row>
    <row r="918" spans="1:28" x14ac:dyDescent="0.25">
      <c r="A918">
        <v>456</v>
      </c>
      <c r="B918">
        <v>4313</v>
      </c>
      <c r="C918" t="s">
        <v>2017</v>
      </c>
      <c r="D918" t="s">
        <v>84</v>
      </c>
      <c r="E918" t="s">
        <v>2018</v>
      </c>
      <c r="F918" t="s">
        <v>2019</v>
      </c>
      <c r="G918" t="str">
        <f>"201406007825"</f>
        <v>201406007825</v>
      </c>
      <c r="H918" t="s">
        <v>175</v>
      </c>
      <c r="I918">
        <v>0</v>
      </c>
      <c r="J918">
        <v>0</v>
      </c>
      <c r="K918">
        <v>0</v>
      </c>
      <c r="L918">
        <v>200</v>
      </c>
      <c r="M918">
        <v>0</v>
      </c>
      <c r="N918">
        <v>30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1</v>
      </c>
      <c r="Y918">
        <v>0</v>
      </c>
      <c r="Z918">
        <v>0</v>
      </c>
      <c r="AA918">
        <v>0</v>
      </c>
      <c r="AB918" t="s">
        <v>2020</v>
      </c>
    </row>
    <row r="919" spans="1:28" x14ac:dyDescent="0.25">
      <c r="H919" t="s">
        <v>2021</v>
      </c>
    </row>
    <row r="920" spans="1:28" x14ac:dyDescent="0.25">
      <c r="A920">
        <v>457</v>
      </c>
      <c r="B920">
        <v>4922</v>
      </c>
      <c r="C920" t="s">
        <v>2022</v>
      </c>
      <c r="D920" t="s">
        <v>187</v>
      </c>
      <c r="E920" t="s">
        <v>39</v>
      </c>
      <c r="F920" t="s">
        <v>2023</v>
      </c>
      <c r="G920" t="str">
        <f>"00113781"</f>
        <v>00113781</v>
      </c>
      <c r="H920" t="s">
        <v>175</v>
      </c>
      <c r="I920">
        <v>0</v>
      </c>
      <c r="J920">
        <v>0</v>
      </c>
      <c r="K920">
        <v>0</v>
      </c>
      <c r="L920">
        <v>200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1</v>
      </c>
      <c r="Y920">
        <v>0</v>
      </c>
      <c r="Z920">
        <v>0</v>
      </c>
      <c r="AA920">
        <v>0</v>
      </c>
      <c r="AB920" t="s">
        <v>2020</v>
      </c>
    </row>
    <row r="921" spans="1:28" x14ac:dyDescent="0.25">
      <c r="H921" t="s">
        <v>2024</v>
      </c>
    </row>
    <row r="922" spans="1:28" x14ac:dyDescent="0.25">
      <c r="A922">
        <v>458</v>
      </c>
      <c r="B922">
        <v>1727</v>
      </c>
      <c r="C922" t="s">
        <v>2025</v>
      </c>
      <c r="D922" t="s">
        <v>2026</v>
      </c>
      <c r="E922" t="s">
        <v>50</v>
      </c>
      <c r="F922" t="s">
        <v>2027</v>
      </c>
      <c r="G922" t="str">
        <f>"00129761"</f>
        <v>00129761</v>
      </c>
      <c r="H922" t="s">
        <v>1098</v>
      </c>
      <c r="I922">
        <v>150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0</v>
      </c>
      <c r="Z922">
        <v>0</v>
      </c>
      <c r="AA922">
        <v>0</v>
      </c>
      <c r="AB922" t="s">
        <v>2028</v>
      </c>
    </row>
    <row r="923" spans="1:28" x14ac:dyDescent="0.25">
      <c r="H923" t="s">
        <v>2029</v>
      </c>
    </row>
    <row r="924" spans="1:28" x14ac:dyDescent="0.25">
      <c r="A924">
        <v>459</v>
      </c>
      <c r="B924">
        <v>3170</v>
      </c>
      <c r="C924" t="s">
        <v>2030</v>
      </c>
      <c r="D924" t="s">
        <v>44</v>
      </c>
      <c r="E924" t="s">
        <v>155</v>
      </c>
      <c r="F924" t="s">
        <v>2031</v>
      </c>
      <c r="G924" t="str">
        <f>"201406016164"</f>
        <v>201406016164</v>
      </c>
      <c r="H924" t="s">
        <v>2032</v>
      </c>
      <c r="I924">
        <v>0</v>
      </c>
      <c r="J924">
        <v>0</v>
      </c>
      <c r="K924">
        <v>0</v>
      </c>
      <c r="L924">
        <v>200</v>
      </c>
      <c r="M924">
        <v>0</v>
      </c>
      <c r="N924">
        <v>70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0</v>
      </c>
      <c r="Z924">
        <v>0</v>
      </c>
      <c r="AA924">
        <v>0</v>
      </c>
      <c r="AB924" t="s">
        <v>2033</v>
      </c>
    </row>
    <row r="925" spans="1:28" x14ac:dyDescent="0.25">
      <c r="H925" t="s">
        <v>2034</v>
      </c>
    </row>
    <row r="926" spans="1:28" x14ac:dyDescent="0.25">
      <c r="A926">
        <v>460</v>
      </c>
      <c r="B926">
        <v>5226</v>
      </c>
      <c r="C926" t="s">
        <v>2035</v>
      </c>
      <c r="D926" t="s">
        <v>471</v>
      </c>
      <c r="E926" t="s">
        <v>14</v>
      </c>
      <c r="F926" t="s">
        <v>2036</v>
      </c>
      <c r="G926" t="str">
        <f>"201406003532"</f>
        <v>201406003532</v>
      </c>
      <c r="H926" t="s">
        <v>2032</v>
      </c>
      <c r="I926">
        <v>0</v>
      </c>
      <c r="J926">
        <v>0</v>
      </c>
      <c r="K926">
        <v>0</v>
      </c>
      <c r="L926">
        <v>200</v>
      </c>
      <c r="M926">
        <v>0</v>
      </c>
      <c r="N926">
        <v>70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>
        <v>0</v>
      </c>
      <c r="Z926">
        <v>0</v>
      </c>
      <c r="AA926">
        <v>0</v>
      </c>
      <c r="AB926" t="s">
        <v>2033</v>
      </c>
    </row>
    <row r="927" spans="1:28" x14ac:dyDescent="0.25">
      <c r="H927" t="s">
        <v>2037</v>
      </c>
    </row>
    <row r="928" spans="1:28" x14ac:dyDescent="0.25">
      <c r="A928">
        <v>461</v>
      </c>
      <c r="B928">
        <v>1645</v>
      </c>
      <c r="C928" t="s">
        <v>2038</v>
      </c>
      <c r="D928" t="s">
        <v>2039</v>
      </c>
      <c r="E928" t="s">
        <v>109</v>
      </c>
      <c r="F928" t="s">
        <v>2040</v>
      </c>
      <c r="G928" t="str">
        <f>"00306450"</f>
        <v>00306450</v>
      </c>
      <c r="H928" t="s">
        <v>981</v>
      </c>
      <c r="I928">
        <v>150</v>
      </c>
      <c r="J928">
        <v>0</v>
      </c>
      <c r="K928">
        <v>0</v>
      </c>
      <c r="L928">
        <v>0</v>
      </c>
      <c r="M928">
        <v>0</v>
      </c>
      <c r="N928">
        <v>50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>
        <v>0</v>
      </c>
      <c r="Z928">
        <v>0</v>
      </c>
      <c r="AA928">
        <v>0</v>
      </c>
      <c r="AB928" t="s">
        <v>2041</v>
      </c>
    </row>
    <row r="929" spans="1:28" x14ac:dyDescent="0.25">
      <c r="H929" t="s">
        <v>2042</v>
      </c>
    </row>
    <row r="930" spans="1:28" x14ac:dyDescent="0.25">
      <c r="A930">
        <v>462</v>
      </c>
      <c r="B930">
        <v>2582</v>
      </c>
      <c r="C930" t="s">
        <v>2043</v>
      </c>
      <c r="D930" t="s">
        <v>306</v>
      </c>
      <c r="E930" t="s">
        <v>14</v>
      </c>
      <c r="F930" t="s">
        <v>2044</v>
      </c>
      <c r="G930" t="str">
        <f>"200712006149"</f>
        <v>200712006149</v>
      </c>
      <c r="H930" t="s">
        <v>2045</v>
      </c>
      <c r="I930">
        <v>0</v>
      </c>
      <c r="J930">
        <v>0</v>
      </c>
      <c r="K930">
        <v>0</v>
      </c>
      <c r="L930">
        <v>200</v>
      </c>
      <c r="M930">
        <v>0</v>
      </c>
      <c r="N930">
        <v>70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0</v>
      </c>
      <c r="Z930">
        <v>0</v>
      </c>
      <c r="AA930">
        <v>0</v>
      </c>
      <c r="AB930" t="s">
        <v>2046</v>
      </c>
    </row>
    <row r="931" spans="1:28" x14ac:dyDescent="0.25">
      <c r="H931" t="s">
        <v>2047</v>
      </c>
    </row>
    <row r="932" spans="1:28" x14ac:dyDescent="0.25">
      <c r="A932">
        <v>463</v>
      </c>
      <c r="B932">
        <v>292</v>
      </c>
      <c r="C932" t="s">
        <v>2048</v>
      </c>
      <c r="D932" t="s">
        <v>51</v>
      </c>
      <c r="E932" t="s">
        <v>430</v>
      </c>
      <c r="F932" t="s">
        <v>2049</v>
      </c>
      <c r="G932" t="str">
        <f>"201406011344"</f>
        <v>201406011344</v>
      </c>
      <c r="H932" t="s">
        <v>2050</v>
      </c>
      <c r="I932">
        <v>0</v>
      </c>
      <c r="J932">
        <v>0</v>
      </c>
      <c r="K932">
        <v>0</v>
      </c>
      <c r="L932">
        <v>260</v>
      </c>
      <c r="M932">
        <v>0</v>
      </c>
      <c r="N932">
        <v>70</v>
      </c>
      <c r="O932">
        <v>30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X932">
        <v>0</v>
      </c>
      <c r="Y932">
        <v>0</v>
      </c>
      <c r="Z932">
        <v>0</v>
      </c>
      <c r="AA932">
        <v>0</v>
      </c>
      <c r="AB932" t="s">
        <v>2051</v>
      </c>
    </row>
    <row r="933" spans="1:28" x14ac:dyDescent="0.25">
      <c r="H933" t="s">
        <v>2052</v>
      </c>
    </row>
    <row r="934" spans="1:28" x14ac:dyDescent="0.25">
      <c r="A934">
        <v>464</v>
      </c>
      <c r="B934">
        <v>3709</v>
      </c>
      <c r="C934" t="s">
        <v>2053</v>
      </c>
      <c r="D934" t="s">
        <v>154</v>
      </c>
      <c r="E934" t="s">
        <v>2054</v>
      </c>
      <c r="F934" t="s">
        <v>2055</v>
      </c>
      <c r="G934" t="str">
        <f>"201304000759"</f>
        <v>201304000759</v>
      </c>
      <c r="H934" t="s">
        <v>2056</v>
      </c>
      <c r="I934">
        <v>0</v>
      </c>
      <c r="J934">
        <v>0</v>
      </c>
      <c r="K934">
        <v>0</v>
      </c>
      <c r="L934">
        <v>200</v>
      </c>
      <c r="M934">
        <v>0</v>
      </c>
      <c r="N934">
        <v>70</v>
      </c>
      <c r="O934">
        <v>30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>
        <v>0</v>
      </c>
      <c r="Z934">
        <v>0</v>
      </c>
      <c r="AA934">
        <v>0</v>
      </c>
      <c r="AB934" t="s">
        <v>2057</v>
      </c>
    </row>
    <row r="935" spans="1:28" x14ac:dyDescent="0.25">
      <c r="H935" t="s">
        <v>2058</v>
      </c>
    </row>
    <row r="936" spans="1:28" x14ac:dyDescent="0.25">
      <c r="A936">
        <v>465</v>
      </c>
      <c r="B936">
        <v>1402</v>
      </c>
      <c r="C936" t="s">
        <v>2059</v>
      </c>
      <c r="D936" t="s">
        <v>20</v>
      </c>
      <c r="E936" t="s">
        <v>2060</v>
      </c>
      <c r="F936" t="s">
        <v>2061</v>
      </c>
      <c r="G936" t="str">
        <f>"201410003682"</f>
        <v>201410003682</v>
      </c>
      <c r="H936">
        <v>825</v>
      </c>
      <c r="I936">
        <v>150</v>
      </c>
      <c r="J936">
        <v>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>
        <v>0</v>
      </c>
      <c r="Z936">
        <v>0</v>
      </c>
      <c r="AA936">
        <v>0</v>
      </c>
      <c r="AB936">
        <v>1005</v>
      </c>
    </row>
    <row r="937" spans="1:28" x14ac:dyDescent="0.25">
      <c r="H937" t="s">
        <v>2062</v>
      </c>
    </row>
    <row r="938" spans="1:28" x14ac:dyDescent="0.25">
      <c r="A938">
        <v>466</v>
      </c>
      <c r="B938">
        <v>2057</v>
      </c>
      <c r="C938" t="s">
        <v>2063</v>
      </c>
      <c r="D938" t="s">
        <v>2064</v>
      </c>
      <c r="E938" t="s">
        <v>2065</v>
      </c>
      <c r="F938" t="s">
        <v>2066</v>
      </c>
      <c r="G938" t="str">
        <f>"201304001862"</f>
        <v>201304001862</v>
      </c>
      <c r="H938" t="s">
        <v>413</v>
      </c>
      <c r="I938">
        <v>0</v>
      </c>
      <c r="J938">
        <v>0</v>
      </c>
      <c r="K938">
        <v>0</v>
      </c>
      <c r="L938">
        <v>200</v>
      </c>
      <c r="M938">
        <v>0</v>
      </c>
      <c r="N938">
        <v>70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>
        <v>0</v>
      </c>
      <c r="Z938">
        <v>0</v>
      </c>
      <c r="AA938">
        <v>0</v>
      </c>
      <c r="AB938" t="s">
        <v>2067</v>
      </c>
    </row>
    <row r="939" spans="1:28" x14ac:dyDescent="0.25">
      <c r="H939" t="s">
        <v>2068</v>
      </c>
    </row>
    <row r="940" spans="1:28" x14ac:dyDescent="0.25">
      <c r="A940">
        <v>467</v>
      </c>
      <c r="B940">
        <v>3180</v>
      </c>
      <c r="C940" t="s">
        <v>2069</v>
      </c>
      <c r="D940" t="s">
        <v>187</v>
      </c>
      <c r="E940" t="s">
        <v>14</v>
      </c>
      <c r="F940" t="s">
        <v>2070</v>
      </c>
      <c r="G940" t="str">
        <f>"201406005768"</f>
        <v>201406005768</v>
      </c>
      <c r="H940" t="s">
        <v>2071</v>
      </c>
      <c r="I940">
        <v>0</v>
      </c>
      <c r="J940">
        <v>0</v>
      </c>
      <c r="K940">
        <v>0</v>
      </c>
      <c r="L940">
        <v>200</v>
      </c>
      <c r="M940">
        <v>0</v>
      </c>
      <c r="N940">
        <v>70</v>
      </c>
      <c r="O940">
        <v>0</v>
      </c>
      <c r="P940">
        <v>30</v>
      </c>
      <c r="Q940">
        <v>0</v>
      </c>
      <c r="R940">
        <v>30</v>
      </c>
      <c r="S940">
        <v>0</v>
      </c>
      <c r="T940">
        <v>0</v>
      </c>
      <c r="U940">
        <v>0</v>
      </c>
      <c r="V940">
        <v>0</v>
      </c>
      <c r="X940">
        <v>0</v>
      </c>
      <c r="Y940">
        <v>0</v>
      </c>
      <c r="Z940">
        <v>0</v>
      </c>
      <c r="AA940">
        <v>0</v>
      </c>
      <c r="AB940" t="s">
        <v>2072</v>
      </c>
    </row>
    <row r="941" spans="1:28" x14ac:dyDescent="0.25">
      <c r="H941" t="s">
        <v>409</v>
      </c>
    </row>
    <row r="942" spans="1:28" x14ac:dyDescent="0.25">
      <c r="A942">
        <v>468</v>
      </c>
      <c r="B942">
        <v>489</v>
      </c>
      <c r="C942" t="s">
        <v>2073</v>
      </c>
      <c r="D942" t="s">
        <v>20</v>
      </c>
      <c r="E942" t="s">
        <v>601</v>
      </c>
      <c r="F942" t="s">
        <v>2074</v>
      </c>
      <c r="G942" t="str">
        <f>"201303000306"</f>
        <v>201303000306</v>
      </c>
      <c r="H942">
        <v>704</v>
      </c>
      <c r="I942">
        <v>0</v>
      </c>
      <c r="J942">
        <v>0</v>
      </c>
      <c r="K942">
        <v>0</v>
      </c>
      <c r="L942">
        <v>200</v>
      </c>
      <c r="M942">
        <v>0</v>
      </c>
      <c r="N942">
        <v>70</v>
      </c>
      <c r="O942">
        <v>30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>
        <v>0</v>
      </c>
      <c r="Z942">
        <v>0</v>
      </c>
      <c r="AA942">
        <v>0</v>
      </c>
      <c r="AB942">
        <v>1004</v>
      </c>
    </row>
    <row r="943" spans="1:28" x14ac:dyDescent="0.25">
      <c r="H943" t="s">
        <v>421</v>
      </c>
    </row>
    <row r="944" spans="1:28" x14ac:dyDescent="0.25">
      <c r="A944">
        <v>469</v>
      </c>
      <c r="B944">
        <v>1162</v>
      </c>
      <c r="C944" t="s">
        <v>2075</v>
      </c>
      <c r="D944" t="s">
        <v>50</v>
      </c>
      <c r="E944" t="s">
        <v>2076</v>
      </c>
      <c r="F944" t="s">
        <v>2077</v>
      </c>
      <c r="G944" t="str">
        <f>"200801006483"</f>
        <v>200801006483</v>
      </c>
      <c r="H944" t="s">
        <v>249</v>
      </c>
      <c r="I944">
        <v>0</v>
      </c>
      <c r="J944">
        <v>0</v>
      </c>
      <c r="K944">
        <v>0</v>
      </c>
      <c r="L944">
        <v>200</v>
      </c>
      <c r="M944">
        <v>0</v>
      </c>
      <c r="N944">
        <v>70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>
        <v>0</v>
      </c>
      <c r="Z944">
        <v>0</v>
      </c>
      <c r="AA944">
        <v>0</v>
      </c>
      <c r="AB944" t="s">
        <v>2078</v>
      </c>
    </row>
    <row r="945" spans="1:28" x14ac:dyDescent="0.25">
      <c r="H945" t="s">
        <v>2079</v>
      </c>
    </row>
    <row r="946" spans="1:28" x14ac:dyDescent="0.25">
      <c r="A946">
        <v>470</v>
      </c>
      <c r="B946">
        <v>956</v>
      </c>
      <c r="C946" t="s">
        <v>2080</v>
      </c>
      <c r="D946" t="s">
        <v>306</v>
      </c>
      <c r="E946" t="s">
        <v>2081</v>
      </c>
      <c r="F946" t="s">
        <v>2082</v>
      </c>
      <c r="G946" t="str">
        <f>"201211000051"</f>
        <v>201211000051</v>
      </c>
      <c r="H946" t="s">
        <v>1858</v>
      </c>
      <c r="I946">
        <v>0</v>
      </c>
      <c r="J946">
        <v>0</v>
      </c>
      <c r="K946">
        <v>0</v>
      </c>
      <c r="L946">
        <v>0</v>
      </c>
      <c r="M946">
        <v>100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0</v>
      </c>
      <c r="Z946">
        <v>0</v>
      </c>
      <c r="AA946">
        <v>0</v>
      </c>
      <c r="AB946" t="s">
        <v>2083</v>
      </c>
    </row>
    <row r="947" spans="1:28" x14ac:dyDescent="0.25">
      <c r="H947">
        <v>1009</v>
      </c>
    </row>
    <row r="948" spans="1:28" x14ac:dyDescent="0.25">
      <c r="A948">
        <v>471</v>
      </c>
      <c r="B948">
        <v>4940</v>
      </c>
      <c r="C948" t="s">
        <v>845</v>
      </c>
      <c r="D948" t="s">
        <v>955</v>
      </c>
      <c r="E948" t="s">
        <v>69</v>
      </c>
      <c r="F948" t="s">
        <v>2084</v>
      </c>
      <c r="G948" t="str">
        <f>"00315968"</f>
        <v>00315968</v>
      </c>
      <c r="H948" t="s">
        <v>1242</v>
      </c>
      <c r="I948">
        <v>0</v>
      </c>
      <c r="J948">
        <v>0</v>
      </c>
      <c r="K948">
        <v>0</v>
      </c>
      <c r="L948">
        <v>200</v>
      </c>
      <c r="M948">
        <v>0</v>
      </c>
      <c r="N948">
        <v>70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>
        <v>0</v>
      </c>
      <c r="Z948">
        <v>0</v>
      </c>
      <c r="AA948">
        <v>0</v>
      </c>
      <c r="AB948" t="s">
        <v>2085</v>
      </c>
    </row>
    <row r="949" spans="1:28" x14ac:dyDescent="0.25">
      <c r="H949" t="s">
        <v>2086</v>
      </c>
    </row>
    <row r="950" spans="1:28" x14ac:dyDescent="0.25">
      <c r="A950">
        <v>472</v>
      </c>
      <c r="B950">
        <v>408</v>
      </c>
      <c r="C950" t="s">
        <v>2087</v>
      </c>
      <c r="D950" t="s">
        <v>393</v>
      </c>
      <c r="E950" t="s">
        <v>50</v>
      </c>
      <c r="F950" t="s">
        <v>2088</v>
      </c>
      <c r="G950" t="str">
        <f>"00017833"</f>
        <v>00017833</v>
      </c>
      <c r="H950" t="s">
        <v>1242</v>
      </c>
      <c r="I950">
        <v>0</v>
      </c>
      <c r="J950">
        <v>0</v>
      </c>
      <c r="K950">
        <v>0</v>
      </c>
      <c r="L950">
        <v>200</v>
      </c>
      <c r="M950">
        <v>0</v>
      </c>
      <c r="N950">
        <v>70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>
        <v>0</v>
      </c>
      <c r="Z950">
        <v>0</v>
      </c>
      <c r="AA950">
        <v>0</v>
      </c>
      <c r="AB950" t="s">
        <v>2085</v>
      </c>
    </row>
    <row r="951" spans="1:28" x14ac:dyDescent="0.25">
      <c r="H951" t="s">
        <v>2089</v>
      </c>
    </row>
    <row r="952" spans="1:28" x14ac:dyDescent="0.25">
      <c r="A952">
        <v>473</v>
      </c>
      <c r="B952">
        <v>1745</v>
      </c>
      <c r="C952" t="s">
        <v>2090</v>
      </c>
      <c r="D952" t="s">
        <v>2091</v>
      </c>
      <c r="E952" t="s">
        <v>38</v>
      </c>
      <c r="F952" t="s">
        <v>2092</v>
      </c>
      <c r="G952" t="str">
        <f>"00305489"</f>
        <v>00305489</v>
      </c>
      <c r="H952" t="s">
        <v>267</v>
      </c>
      <c r="I952">
        <v>0</v>
      </c>
      <c r="J952">
        <v>0</v>
      </c>
      <c r="K952">
        <v>0</v>
      </c>
      <c r="L952">
        <v>200</v>
      </c>
      <c r="M952">
        <v>0</v>
      </c>
      <c r="N952">
        <v>50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>
        <v>0</v>
      </c>
      <c r="Z952">
        <v>0</v>
      </c>
      <c r="AA952">
        <v>0</v>
      </c>
      <c r="AB952" t="s">
        <v>2093</v>
      </c>
    </row>
    <row r="953" spans="1:28" x14ac:dyDescent="0.25">
      <c r="H953">
        <v>1009</v>
      </c>
    </row>
    <row r="954" spans="1:28" x14ac:dyDescent="0.25">
      <c r="A954">
        <v>474</v>
      </c>
      <c r="B954">
        <v>4198</v>
      </c>
      <c r="C954" t="s">
        <v>2094</v>
      </c>
      <c r="D954" t="s">
        <v>758</v>
      </c>
      <c r="E954" t="s">
        <v>2095</v>
      </c>
      <c r="F954" t="s">
        <v>2096</v>
      </c>
      <c r="G954" t="str">
        <f>"201406011314"</f>
        <v>201406011314</v>
      </c>
      <c r="H954" t="s">
        <v>1412</v>
      </c>
      <c r="I954">
        <v>0</v>
      </c>
      <c r="J954">
        <v>0</v>
      </c>
      <c r="K954">
        <v>0</v>
      </c>
      <c r="L954">
        <v>200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0</v>
      </c>
      <c r="Y954">
        <v>0</v>
      </c>
      <c r="Z954">
        <v>0</v>
      </c>
      <c r="AA954">
        <v>0</v>
      </c>
      <c r="AB954" t="s">
        <v>2097</v>
      </c>
    </row>
    <row r="955" spans="1:28" x14ac:dyDescent="0.25">
      <c r="H955" t="s">
        <v>142</v>
      </c>
    </row>
    <row r="956" spans="1:28" x14ac:dyDescent="0.25">
      <c r="A956">
        <v>475</v>
      </c>
      <c r="B956">
        <v>4107</v>
      </c>
      <c r="C956" t="s">
        <v>2098</v>
      </c>
      <c r="D956" t="s">
        <v>1140</v>
      </c>
      <c r="E956" t="s">
        <v>218</v>
      </c>
      <c r="F956" t="s">
        <v>2099</v>
      </c>
      <c r="G956" t="str">
        <f>"201406006795"</f>
        <v>201406006795</v>
      </c>
      <c r="H956">
        <v>770</v>
      </c>
      <c r="I956">
        <v>0</v>
      </c>
      <c r="J956">
        <v>0</v>
      </c>
      <c r="K956">
        <v>0</v>
      </c>
      <c r="L956">
        <v>200</v>
      </c>
      <c r="M956">
        <v>0</v>
      </c>
      <c r="N956">
        <v>30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>
        <v>0</v>
      </c>
      <c r="Z956">
        <v>0</v>
      </c>
      <c r="AA956">
        <v>0</v>
      </c>
      <c r="AB956">
        <v>1000</v>
      </c>
    </row>
    <row r="957" spans="1:28" x14ac:dyDescent="0.25">
      <c r="H957">
        <v>1009</v>
      </c>
    </row>
    <row r="958" spans="1:28" x14ac:dyDescent="0.25">
      <c r="A958">
        <v>476</v>
      </c>
      <c r="B958">
        <v>2930</v>
      </c>
      <c r="C958" t="s">
        <v>2100</v>
      </c>
      <c r="D958" t="s">
        <v>2101</v>
      </c>
      <c r="E958" t="s">
        <v>2102</v>
      </c>
      <c r="F958" t="s">
        <v>2103</v>
      </c>
      <c r="G958" t="str">
        <f>"00109098"</f>
        <v>00109098</v>
      </c>
      <c r="H958">
        <v>770</v>
      </c>
      <c r="I958">
        <v>0</v>
      </c>
      <c r="J958">
        <v>0</v>
      </c>
      <c r="K958">
        <v>0</v>
      </c>
      <c r="L958">
        <v>200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>
        <v>0</v>
      </c>
      <c r="Z958">
        <v>0</v>
      </c>
      <c r="AA958">
        <v>0</v>
      </c>
      <c r="AB958">
        <v>1000</v>
      </c>
    </row>
    <row r="959" spans="1:28" x14ac:dyDescent="0.25">
      <c r="H959" t="s">
        <v>2104</v>
      </c>
    </row>
    <row r="960" spans="1:28" x14ac:dyDescent="0.25">
      <c r="A960">
        <v>477</v>
      </c>
      <c r="B960">
        <v>298</v>
      </c>
      <c r="C960" t="s">
        <v>2105</v>
      </c>
      <c r="D960" t="s">
        <v>187</v>
      </c>
      <c r="E960" t="s">
        <v>1159</v>
      </c>
      <c r="F960" t="s">
        <v>2106</v>
      </c>
      <c r="G960" t="str">
        <f>"201304005232"</f>
        <v>201304005232</v>
      </c>
      <c r="H960" t="s">
        <v>557</v>
      </c>
      <c r="I960">
        <v>0</v>
      </c>
      <c r="J960">
        <v>0</v>
      </c>
      <c r="K960">
        <v>0</v>
      </c>
      <c r="L960">
        <v>0</v>
      </c>
      <c r="M960">
        <v>100</v>
      </c>
      <c r="N960">
        <v>70</v>
      </c>
      <c r="O960">
        <v>30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>
        <v>0</v>
      </c>
      <c r="Z960">
        <v>0</v>
      </c>
      <c r="AA960">
        <v>0</v>
      </c>
      <c r="AB960" t="s">
        <v>2107</v>
      </c>
    </row>
    <row r="961" spans="1:28" x14ac:dyDescent="0.25">
      <c r="H961" t="s">
        <v>2108</v>
      </c>
    </row>
    <row r="962" spans="1:28" x14ac:dyDescent="0.25">
      <c r="A962">
        <v>478</v>
      </c>
      <c r="B962">
        <v>4136</v>
      </c>
      <c r="C962" t="s">
        <v>2109</v>
      </c>
      <c r="D962" t="s">
        <v>306</v>
      </c>
      <c r="E962" t="s">
        <v>155</v>
      </c>
      <c r="F962" t="s">
        <v>2110</v>
      </c>
      <c r="G962" t="str">
        <f>"00179951"</f>
        <v>00179951</v>
      </c>
      <c r="H962" t="s">
        <v>1202</v>
      </c>
      <c r="I962">
        <v>0</v>
      </c>
      <c r="J962">
        <v>0</v>
      </c>
      <c r="K962">
        <v>0</v>
      </c>
      <c r="L962">
        <v>200</v>
      </c>
      <c r="M962">
        <v>0</v>
      </c>
      <c r="N962">
        <v>70</v>
      </c>
      <c r="O962">
        <v>50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>
        <v>0</v>
      </c>
      <c r="Z962">
        <v>0</v>
      </c>
      <c r="AA962">
        <v>0</v>
      </c>
      <c r="AB962" t="s">
        <v>2111</v>
      </c>
    </row>
    <row r="963" spans="1:28" x14ac:dyDescent="0.25">
      <c r="H963" t="s">
        <v>2112</v>
      </c>
    </row>
    <row r="964" spans="1:28" x14ac:dyDescent="0.25">
      <c r="A964">
        <v>479</v>
      </c>
      <c r="B964">
        <v>369</v>
      </c>
      <c r="C964" t="s">
        <v>2113</v>
      </c>
      <c r="D964" t="s">
        <v>2114</v>
      </c>
      <c r="E964" t="s">
        <v>495</v>
      </c>
      <c r="F964" t="s">
        <v>2115</v>
      </c>
      <c r="G964" t="str">
        <f>"201304001962"</f>
        <v>201304001962</v>
      </c>
      <c r="H964" t="s">
        <v>1762</v>
      </c>
      <c r="I964">
        <v>0</v>
      </c>
      <c r="J964">
        <v>0</v>
      </c>
      <c r="K964">
        <v>0</v>
      </c>
      <c r="L964">
        <v>200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>
        <v>0</v>
      </c>
      <c r="Z964">
        <v>0</v>
      </c>
      <c r="AA964">
        <v>0</v>
      </c>
      <c r="AB964" t="s">
        <v>2116</v>
      </c>
    </row>
    <row r="965" spans="1:28" x14ac:dyDescent="0.25">
      <c r="H965" t="s">
        <v>2117</v>
      </c>
    </row>
    <row r="966" spans="1:28" x14ac:dyDescent="0.25">
      <c r="A966">
        <v>480</v>
      </c>
      <c r="B966">
        <v>3338</v>
      </c>
      <c r="C966" t="s">
        <v>2118</v>
      </c>
      <c r="D966" t="s">
        <v>14</v>
      </c>
      <c r="E966" t="s">
        <v>2119</v>
      </c>
      <c r="F966" t="s">
        <v>2120</v>
      </c>
      <c r="G966" t="str">
        <f>"201304005174"</f>
        <v>201304005174</v>
      </c>
      <c r="H966" t="s">
        <v>1592</v>
      </c>
      <c r="I966">
        <v>0</v>
      </c>
      <c r="J966">
        <v>0</v>
      </c>
      <c r="K966">
        <v>0</v>
      </c>
      <c r="L966">
        <v>200</v>
      </c>
      <c r="M966">
        <v>0</v>
      </c>
      <c r="N966">
        <v>70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0</v>
      </c>
      <c r="Z966">
        <v>0</v>
      </c>
      <c r="AA966">
        <v>0</v>
      </c>
      <c r="AB966" t="s">
        <v>2121</v>
      </c>
    </row>
    <row r="967" spans="1:28" x14ac:dyDescent="0.25">
      <c r="H967" t="s">
        <v>2122</v>
      </c>
    </row>
    <row r="968" spans="1:28" x14ac:dyDescent="0.25">
      <c r="A968">
        <v>481</v>
      </c>
      <c r="B968">
        <v>4717</v>
      </c>
      <c r="C968" t="s">
        <v>2123</v>
      </c>
      <c r="D968" t="s">
        <v>2124</v>
      </c>
      <c r="E968" t="s">
        <v>2125</v>
      </c>
      <c r="F968" t="s">
        <v>2126</v>
      </c>
      <c r="G968" t="str">
        <f>"200903000150"</f>
        <v>200903000150</v>
      </c>
      <c r="H968" t="s">
        <v>2127</v>
      </c>
      <c r="I968">
        <v>0</v>
      </c>
      <c r="J968">
        <v>0</v>
      </c>
      <c r="K968">
        <v>0</v>
      </c>
      <c r="L968">
        <v>260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1</v>
      </c>
      <c r="Y968">
        <v>100</v>
      </c>
      <c r="Z968">
        <v>0</v>
      </c>
      <c r="AA968">
        <v>0</v>
      </c>
      <c r="AB968" t="s">
        <v>2128</v>
      </c>
    </row>
    <row r="969" spans="1:28" x14ac:dyDescent="0.25">
      <c r="H969" t="s">
        <v>2129</v>
      </c>
    </row>
    <row r="970" spans="1:28" x14ac:dyDescent="0.25">
      <c r="A970">
        <v>482</v>
      </c>
      <c r="B970">
        <v>232</v>
      </c>
      <c r="C970" t="s">
        <v>2130</v>
      </c>
      <c r="D970" t="s">
        <v>471</v>
      </c>
      <c r="E970" t="s">
        <v>38</v>
      </c>
      <c r="F970" t="s">
        <v>2131</v>
      </c>
      <c r="G970" t="str">
        <f>"200804000707"</f>
        <v>200804000707</v>
      </c>
      <c r="H970">
        <v>726</v>
      </c>
      <c r="I970">
        <v>0</v>
      </c>
      <c r="J970">
        <v>0</v>
      </c>
      <c r="K970">
        <v>0</v>
      </c>
      <c r="L970">
        <v>200</v>
      </c>
      <c r="M970">
        <v>0</v>
      </c>
      <c r="N970">
        <v>70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>
        <v>0</v>
      </c>
      <c r="Z970">
        <v>0</v>
      </c>
      <c r="AA970">
        <v>0</v>
      </c>
      <c r="AB970">
        <v>996</v>
      </c>
    </row>
    <row r="971" spans="1:28" x14ac:dyDescent="0.25">
      <c r="H971" t="s">
        <v>1975</v>
      </c>
    </row>
    <row r="972" spans="1:28" x14ac:dyDescent="0.25">
      <c r="A972">
        <v>483</v>
      </c>
      <c r="B972">
        <v>3522</v>
      </c>
      <c r="C972" t="s">
        <v>2132</v>
      </c>
      <c r="D972" t="s">
        <v>366</v>
      </c>
      <c r="E972" t="s">
        <v>69</v>
      </c>
      <c r="F972" t="s">
        <v>2133</v>
      </c>
      <c r="G972" t="str">
        <f>"00150857"</f>
        <v>00150857</v>
      </c>
      <c r="H972" t="s">
        <v>389</v>
      </c>
      <c r="I972">
        <v>150</v>
      </c>
      <c r="J972">
        <v>0</v>
      </c>
      <c r="K972">
        <v>0</v>
      </c>
      <c r="L972">
        <v>0</v>
      </c>
      <c r="M972">
        <v>0</v>
      </c>
      <c r="N972">
        <v>70</v>
      </c>
      <c r="O972">
        <v>30</v>
      </c>
      <c r="P972">
        <v>0</v>
      </c>
      <c r="Q972">
        <v>0</v>
      </c>
      <c r="R972">
        <v>0</v>
      </c>
      <c r="S972">
        <v>0</v>
      </c>
      <c r="T972">
        <v>70</v>
      </c>
      <c r="U972">
        <v>0</v>
      </c>
      <c r="V972">
        <v>0</v>
      </c>
      <c r="X972">
        <v>0</v>
      </c>
      <c r="Y972">
        <v>0</v>
      </c>
      <c r="Z972">
        <v>0</v>
      </c>
      <c r="AA972">
        <v>0</v>
      </c>
      <c r="AB972" t="s">
        <v>2134</v>
      </c>
    </row>
    <row r="973" spans="1:28" x14ac:dyDescent="0.25">
      <c r="H973" t="s">
        <v>2135</v>
      </c>
    </row>
    <row r="974" spans="1:28" x14ac:dyDescent="0.25">
      <c r="A974">
        <v>484</v>
      </c>
      <c r="B974">
        <v>4908</v>
      </c>
      <c r="C974" t="s">
        <v>2136</v>
      </c>
      <c r="D974" t="s">
        <v>339</v>
      </c>
      <c r="E974" t="s">
        <v>411</v>
      </c>
      <c r="F974" t="s">
        <v>2137</v>
      </c>
      <c r="G974" t="str">
        <f>"00119011"</f>
        <v>00119011</v>
      </c>
      <c r="H974" t="s">
        <v>425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70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>
        <v>0</v>
      </c>
      <c r="Z974">
        <v>9</v>
      </c>
      <c r="AA974">
        <v>153</v>
      </c>
      <c r="AB974" t="s">
        <v>2138</v>
      </c>
    </row>
    <row r="975" spans="1:28" x14ac:dyDescent="0.25">
      <c r="H975" t="s">
        <v>2139</v>
      </c>
    </row>
    <row r="976" spans="1:28" x14ac:dyDescent="0.25">
      <c r="A976">
        <v>485</v>
      </c>
      <c r="B976">
        <v>2788</v>
      </c>
      <c r="C976" t="s">
        <v>2140</v>
      </c>
      <c r="D976" t="s">
        <v>480</v>
      </c>
      <c r="E976" t="s">
        <v>80</v>
      </c>
      <c r="F976" t="s">
        <v>2141</v>
      </c>
      <c r="G976" t="str">
        <f>"201511014039"</f>
        <v>201511014039</v>
      </c>
      <c r="H976" t="s">
        <v>2142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30</v>
      </c>
      <c r="O976">
        <v>30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>
        <v>0</v>
      </c>
      <c r="Z976">
        <v>18</v>
      </c>
      <c r="AA976">
        <v>306</v>
      </c>
      <c r="AB976" t="s">
        <v>2138</v>
      </c>
    </row>
    <row r="977" spans="1:28" x14ac:dyDescent="0.25">
      <c r="H977" t="s">
        <v>2143</v>
      </c>
    </row>
    <row r="978" spans="1:28" x14ac:dyDescent="0.25">
      <c r="A978">
        <v>486</v>
      </c>
      <c r="B978">
        <v>3897</v>
      </c>
      <c r="C978" t="s">
        <v>2144</v>
      </c>
      <c r="D978" t="s">
        <v>333</v>
      </c>
      <c r="E978" t="s">
        <v>218</v>
      </c>
      <c r="F978" t="s">
        <v>2145</v>
      </c>
      <c r="G978" t="str">
        <f>"200712001622"</f>
        <v>200712001622</v>
      </c>
      <c r="H978">
        <v>715</v>
      </c>
      <c r="I978">
        <v>0</v>
      </c>
      <c r="J978">
        <v>0</v>
      </c>
      <c r="K978">
        <v>0</v>
      </c>
      <c r="L978">
        <v>200</v>
      </c>
      <c r="M978">
        <v>0</v>
      </c>
      <c r="N978">
        <v>50</v>
      </c>
      <c r="O978">
        <v>30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>
        <v>0</v>
      </c>
      <c r="Z978">
        <v>0</v>
      </c>
      <c r="AA978">
        <v>0</v>
      </c>
      <c r="AB978">
        <v>995</v>
      </c>
    </row>
    <row r="979" spans="1:28" x14ac:dyDescent="0.25">
      <c r="H979" t="s">
        <v>2146</v>
      </c>
    </row>
    <row r="980" spans="1:28" x14ac:dyDescent="0.25">
      <c r="A980">
        <v>487</v>
      </c>
      <c r="B980">
        <v>3717</v>
      </c>
      <c r="C980" t="s">
        <v>2147</v>
      </c>
      <c r="D980" t="s">
        <v>80</v>
      </c>
      <c r="E980" t="s">
        <v>14</v>
      </c>
      <c r="F980" t="s">
        <v>2148</v>
      </c>
      <c r="G980" t="str">
        <f>"201506001700"</f>
        <v>201506001700</v>
      </c>
      <c r="H980" t="s">
        <v>1903</v>
      </c>
      <c r="I980">
        <v>0</v>
      </c>
      <c r="J980">
        <v>0</v>
      </c>
      <c r="K980">
        <v>0</v>
      </c>
      <c r="L980">
        <v>200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>
        <v>0</v>
      </c>
      <c r="Z980">
        <v>0</v>
      </c>
      <c r="AA980">
        <v>0</v>
      </c>
      <c r="AB980" t="s">
        <v>2149</v>
      </c>
    </row>
    <row r="981" spans="1:28" x14ac:dyDescent="0.25">
      <c r="H981" t="s">
        <v>2150</v>
      </c>
    </row>
    <row r="982" spans="1:28" x14ac:dyDescent="0.25">
      <c r="A982">
        <v>488</v>
      </c>
      <c r="B982">
        <v>1585</v>
      </c>
      <c r="C982" t="s">
        <v>2151</v>
      </c>
      <c r="D982" t="s">
        <v>2152</v>
      </c>
      <c r="E982" t="s">
        <v>218</v>
      </c>
      <c r="F982" t="s">
        <v>2153</v>
      </c>
      <c r="G982" t="str">
        <f>"201304003818"</f>
        <v>201304003818</v>
      </c>
      <c r="H982" t="s">
        <v>1903</v>
      </c>
      <c r="I982">
        <v>0</v>
      </c>
      <c r="J982">
        <v>0</v>
      </c>
      <c r="K982">
        <v>0</v>
      </c>
      <c r="L982">
        <v>200</v>
      </c>
      <c r="M982">
        <v>0</v>
      </c>
      <c r="N982">
        <v>70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>
        <v>0</v>
      </c>
      <c r="Z982">
        <v>0</v>
      </c>
      <c r="AA982">
        <v>0</v>
      </c>
      <c r="AB982" t="s">
        <v>2149</v>
      </c>
    </row>
    <row r="983" spans="1:28" x14ac:dyDescent="0.25">
      <c r="H983" t="s">
        <v>2154</v>
      </c>
    </row>
    <row r="984" spans="1:28" x14ac:dyDescent="0.25">
      <c r="A984">
        <v>489</v>
      </c>
      <c r="B984">
        <v>3763</v>
      </c>
      <c r="C984" t="s">
        <v>2155</v>
      </c>
      <c r="D984" t="s">
        <v>1786</v>
      </c>
      <c r="E984" t="s">
        <v>417</v>
      </c>
      <c r="F984" t="s">
        <v>2156</v>
      </c>
      <c r="G984" t="str">
        <f>"00110503"</f>
        <v>00110503</v>
      </c>
      <c r="H984" t="s">
        <v>413</v>
      </c>
      <c r="I984">
        <v>0</v>
      </c>
      <c r="J984">
        <v>0</v>
      </c>
      <c r="K984">
        <v>0</v>
      </c>
      <c r="L984">
        <v>200</v>
      </c>
      <c r="M984">
        <v>0</v>
      </c>
      <c r="N984">
        <v>30</v>
      </c>
      <c r="O984">
        <v>0</v>
      </c>
      <c r="P984">
        <v>30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>
        <v>0</v>
      </c>
      <c r="Z984">
        <v>0</v>
      </c>
      <c r="AA984">
        <v>0</v>
      </c>
      <c r="AB984" t="s">
        <v>2157</v>
      </c>
    </row>
    <row r="985" spans="1:28" x14ac:dyDescent="0.25">
      <c r="H985" t="s">
        <v>2158</v>
      </c>
    </row>
    <row r="986" spans="1:28" x14ac:dyDescent="0.25">
      <c r="A986">
        <v>490</v>
      </c>
      <c r="B986">
        <v>4910</v>
      </c>
      <c r="C986" t="s">
        <v>2159</v>
      </c>
      <c r="D986" t="s">
        <v>187</v>
      </c>
      <c r="E986" t="s">
        <v>50</v>
      </c>
      <c r="F986" t="s">
        <v>2160</v>
      </c>
      <c r="G986" t="str">
        <f>"201410007208"</f>
        <v>201410007208</v>
      </c>
      <c r="H986" t="s">
        <v>2161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30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0</v>
      </c>
      <c r="Y986">
        <v>0</v>
      </c>
      <c r="Z986">
        <v>0</v>
      </c>
      <c r="AA986">
        <v>0</v>
      </c>
      <c r="AB986" t="s">
        <v>2162</v>
      </c>
    </row>
    <row r="987" spans="1:28" x14ac:dyDescent="0.25">
      <c r="H987" t="s">
        <v>2163</v>
      </c>
    </row>
    <row r="988" spans="1:28" x14ac:dyDescent="0.25">
      <c r="A988">
        <v>491</v>
      </c>
      <c r="B988">
        <v>3385</v>
      </c>
      <c r="C988" t="s">
        <v>2164</v>
      </c>
      <c r="D988" t="s">
        <v>1479</v>
      </c>
      <c r="E988" t="s">
        <v>51</v>
      </c>
      <c r="F988" t="s">
        <v>2165</v>
      </c>
      <c r="G988" t="str">
        <f>"201406009544"</f>
        <v>201406009544</v>
      </c>
      <c r="H988" t="s">
        <v>150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70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>
        <v>0</v>
      </c>
      <c r="Z988">
        <v>8</v>
      </c>
      <c r="AA988">
        <v>136</v>
      </c>
      <c r="AB988" t="s">
        <v>2166</v>
      </c>
    </row>
    <row r="989" spans="1:28" x14ac:dyDescent="0.25">
      <c r="H989" t="s">
        <v>2167</v>
      </c>
    </row>
    <row r="990" spans="1:28" x14ac:dyDescent="0.25">
      <c r="A990">
        <v>492</v>
      </c>
      <c r="B990">
        <v>563</v>
      </c>
      <c r="C990" t="s">
        <v>2168</v>
      </c>
      <c r="D990" t="s">
        <v>179</v>
      </c>
      <c r="E990" t="s">
        <v>519</v>
      </c>
      <c r="F990" t="s">
        <v>2169</v>
      </c>
      <c r="G990" t="str">
        <f>"00289437"</f>
        <v>00289437</v>
      </c>
      <c r="H990" t="s">
        <v>34</v>
      </c>
      <c r="I990">
        <v>0</v>
      </c>
      <c r="J990">
        <v>0</v>
      </c>
      <c r="K990">
        <v>0</v>
      </c>
      <c r="L990">
        <v>0</v>
      </c>
      <c r="M990">
        <v>100</v>
      </c>
      <c r="N990">
        <v>70</v>
      </c>
      <c r="O990">
        <v>30</v>
      </c>
      <c r="P990">
        <v>0</v>
      </c>
      <c r="Q990">
        <v>0</v>
      </c>
      <c r="R990">
        <v>0</v>
      </c>
      <c r="S990">
        <v>0</v>
      </c>
      <c r="T990">
        <v>30</v>
      </c>
      <c r="U990">
        <v>0</v>
      </c>
      <c r="V990">
        <v>0</v>
      </c>
      <c r="X990">
        <v>0</v>
      </c>
      <c r="Y990">
        <v>0</v>
      </c>
      <c r="Z990">
        <v>0</v>
      </c>
      <c r="AA990">
        <v>0</v>
      </c>
      <c r="AB990" t="s">
        <v>2170</v>
      </c>
    </row>
    <row r="991" spans="1:28" x14ac:dyDescent="0.25">
      <c r="H991" t="s">
        <v>2171</v>
      </c>
    </row>
    <row r="992" spans="1:28" x14ac:dyDescent="0.25">
      <c r="A992">
        <v>493</v>
      </c>
      <c r="B992">
        <v>2519</v>
      </c>
      <c r="C992" t="s">
        <v>1059</v>
      </c>
      <c r="D992" t="s">
        <v>187</v>
      </c>
      <c r="E992" t="s">
        <v>155</v>
      </c>
      <c r="F992" t="s">
        <v>2172</v>
      </c>
      <c r="G992" t="str">
        <f>"201304005060"</f>
        <v>201304005060</v>
      </c>
      <c r="H992" t="s">
        <v>2173</v>
      </c>
      <c r="I992">
        <v>0</v>
      </c>
      <c r="J992">
        <v>0</v>
      </c>
      <c r="K992">
        <v>0</v>
      </c>
      <c r="L992">
        <v>200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>
        <v>0</v>
      </c>
      <c r="Z992">
        <v>0</v>
      </c>
      <c r="AA992">
        <v>0</v>
      </c>
      <c r="AB992" t="s">
        <v>2174</v>
      </c>
    </row>
    <row r="993" spans="1:28" x14ac:dyDescent="0.25">
      <c r="H993" t="s">
        <v>739</v>
      </c>
    </row>
    <row r="994" spans="1:28" x14ac:dyDescent="0.25">
      <c r="A994">
        <v>494</v>
      </c>
      <c r="B994">
        <v>110</v>
      </c>
      <c r="C994" t="s">
        <v>2175</v>
      </c>
      <c r="D994" t="s">
        <v>187</v>
      </c>
      <c r="E994" t="s">
        <v>14</v>
      </c>
      <c r="F994" t="s">
        <v>2176</v>
      </c>
      <c r="G994" t="str">
        <f>"201304004672"</f>
        <v>201304004672</v>
      </c>
      <c r="H994" t="s">
        <v>2173</v>
      </c>
      <c r="I994">
        <v>0</v>
      </c>
      <c r="J994">
        <v>0</v>
      </c>
      <c r="K994">
        <v>0</v>
      </c>
      <c r="L994">
        <v>200</v>
      </c>
      <c r="M994">
        <v>0</v>
      </c>
      <c r="N994">
        <v>70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>
        <v>0</v>
      </c>
      <c r="Z994">
        <v>0</v>
      </c>
      <c r="AA994">
        <v>0</v>
      </c>
      <c r="AB994" t="s">
        <v>2174</v>
      </c>
    </row>
    <row r="995" spans="1:28" x14ac:dyDescent="0.25">
      <c r="H995" t="s">
        <v>2177</v>
      </c>
    </row>
    <row r="996" spans="1:28" x14ac:dyDescent="0.25">
      <c r="A996">
        <v>495</v>
      </c>
      <c r="B996">
        <v>4630</v>
      </c>
      <c r="C996" t="s">
        <v>2178</v>
      </c>
      <c r="D996" t="s">
        <v>339</v>
      </c>
      <c r="E996" t="s">
        <v>282</v>
      </c>
      <c r="F996" t="s">
        <v>2179</v>
      </c>
      <c r="G996" t="str">
        <f>"201506003930"</f>
        <v>201506003930</v>
      </c>
      <c r="H996" t="s">
        <v>226</v>
      </c>
      <c r="I996">
        <v>0</v>
      </c>
      <c r="J996">
        <v>0</v>
      </c>
      <c r="K996">
        <v>0</v>
      </c>
      <c r="L996">
        <v>200</v>
      </c>
      <c r="M996">
        <v>0</v>
      </c>
      <c r="N996">
        <v>30</v>
      </c>
      <c r="O996">
        <v>0</v>
      </c>
      <c r="P996">
        <v>30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>
        <v>0</v>
      </c>
      <c r="Z996">
        <v>0</v>
      </c>
      <c r="AA996">
        <v>0</v>
      </c>
      <c r="AB996" t="s">
        <v>2180</v>
      </c>
    </row>
    <row r="997" spans="1:28" x14ac:dyDescent="0.25">
      <c r="H997" t="s">
        <v>2181</v>
      </c>
    </row>
    <row r="998" spans="1:28" x14ac:dyDescent="0.25">
      <c r="A998">
        <v>496</v>
      </c>
      <c r="B998">
        <v>3177</v>
      </c>
      <c r="C998" t="s">
        <v>2182</v>
      </c>
      <c r="D998" t="s">
        <v>187</v>
      </c>
      <c r="E998" t="s">
        <v>14</v>
      </c>
      <c r="F998" t="s">
        <v>2183</v>
      </c>
      <c r="G998" t="str">
        <f>"201410008057"</f>
        <v>201410008057</v>
      </c>
      <c r="H998" t="s">
        <v>2184</v>
      </c>
      <c r="I998">
        <v>0</v>
      </c>
      <c r="J998">
        <v>0</v>
      </c>
      <c r="K998">
        <v>0</v>
      </c>
      <c r="L998">
        <v>200</v>
      </c>
      <c r="M998">
        <v>0</v>
      </c>
      <c r="N998">
        <v>50</v>
      </c>
      <c r="O998">
        <v>30</v>
      </c>
      <c r="P998">
        <v>50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>
        <v>0</v>
      </c>
      <c r="Z998">
        <v>0</v>
      </c>
      <c r="AA998">
        <v>0</v>
      </c>
      <c r="AB998" t="s">
        <v>2185</v>
      </c>
    </row>
    <row r="999" spans="1:28" x14ac:dyDescent="0.25">
      <c r="H999">
        <v>1009</v>
      </c>
    </row>
    <row r="1000" spans="1:28" x14ac:dyDescent="0.25">
      <c r="A1000">
        <v>497</v>
      </c>
      <c r="B1000">
        <v>1411</v>
      </c>
      <c r="C1000" t="s">
        <v>2186</v>
      </c>
      <c r="D1000" t="s">
        <v>2011</v>
      </c>
      <c r="E1000" t="s">
        <v>50</v>
      </c>
      <c r="F1000" t="s">
        <v>2187</v>
      </c>
      <c r="G1000" t="str">
        <f>"00318911"</f>
        <v>00318911</v>
      </c>
      <c r="H1000" t="s">
        <v>2188</v>
      </c>
      <c r="I1000">
        <v>0</v>
      </c>
      <c r="J1000">
        <v>0</v>
      </c>
      <c r="K1000">
        <v>0</v>
      </c>
      <c r="L1000">
        <v>200</v>
      </c>
      <c r="M1000">
        <v>0</v>
      </c>
      <c r="N1000">
        <v>70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0</v>
      </c>
      <c r="Z1000">
        <v>0</v>
      </c>
      <c r="AA1000">
        <v>0</v>
      </c>
      <c r="AB1000" t="s">
        <v>2189</v>
      </c>
    </row>
    <row r="1001" spans="1:28" x14ac:dyDescent="0.25">
      <c r="H1001" t="s">
        <v>2190</v>
      </c>
    </row>
    <row r="1002" spans="1:28" x14ac:dyDescent="0.25">
      <c r="A1002">
        <v>498</v>
      </c>
      <c r="B1002">
        <v>1801</v>
      </c>
      <c r="C1002" t="s">
        <v>2191</v>
      </c>
      <c r="D1002" t="s">
        <v>155</v>
      </c>
      <c r="E1002" t="s">
        <v>14</v>
      </c>
      <c r="F1002" t="s">
        <v>2192</v>
      </c>
      <c r="G1002" t="str">
        <f>"00011135"</f>
        <v>00011135</v>
      </c>
      <c r="H1002" t="s">
        <v>2193</v>
      </c>
      <c r="I1002">
        <v>0</v>
      </c>
      <c r="J1002">
        <v>0</v>
      </c>
      <c r="K1002">
        <v>0</v>
      </c>
      <c r="L1002">
        <v>200</v>
      </c>
      <c r="M1002">
        <v>0</v>
      </c>
      <c r="N1002">
        <v>70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0</v>
      </c>
      <c r="Y1002">
        <v>0</v>
      </c>
      <c r="Z1002">
        <v>0</v>
      </c>
      <c r="AA1002">
        <v>0</v>
      </c>
      <c r="AB1002" t="s">
        <v>2194</v>
      </c>
    </row>
    <row r="1003" spans="1:28" x14ac:dyDescent="0.25">
      <c r="H1003" t="s">
        <v>2195</v>
      </c>
    </row>
    <row r="1004" spans="1:28" x14ac:dyDescent="0.25">
      <c r="A1004">
        <v>499</v>
      </c>
      <c r="B1004">
        <v>3328</v>
      </c>
      <c r="C1004" t="s">
        <v>2196</v>
      </c>
      <c r="D1004" t="s">
        <v>458</v>
      </c>
      <c r="E1004" t="s">
        <v>155</v>
      </c>
      <c r="F1004" t="s">
        <v>2197</v>
      </c>
      <c r="G1004" t="str">
        <f>"200712000985"</f>
        <v>200712000985</v>
      </c>
      <c r="H1004" t="s">
        <v>1835</v>
      </c>
      <c r="I1004">
        <v>0</v>
      </c>
      <c r="J1004">
        <v>0</v>
      </c>
      <c r="K1004">
        <v>0</v>
      </c>
      <c r="L1004">
        <v>200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>
        <v>0</v>
      </c>
      <c r="Z1004">
        <v>0</v>
      </c>
      <c r="AA1004">
        <v>0</v>
      </c>
      <c r="AB1004" t="s">
        <v>2198</v>
      </c>
    </row>
    <row r="1005" spans="1:28" x14ac:dyDescent="0.25">
      <c r="H1005" t="s">
        <v>2199</v>
      </c>
    </row>
    <row r="1006" spans="1:28" x14ac:dyDescent="0.25">
      <c r="A1006">
        <v>500</v>
      </c>
      <c r="B1006">
        <v>3669</v>
      </c>
      <c r="C1006" t="s">
        <v>2200</v>
      </c>
      <c r="D1006" t="s">
        <v>117</v>
      </c>
      <c r="E1006" t="s">
        <v>14</v>
      </c>
      <c r="F1006" t="s">
        <v>2201</v>
      </c>
      <c r="G1006" t="str">
        <f>"201406018072"</f>
        <v>201406018072</v>
      </c>
      <c r="H1006">
        <v>660</v>
      </c>
      <c r="I1006">
        <v>0</v>
      </c>
      <c r="J1006">
        <v>0</v>
      </c>
      <c r="K1006">
        <v>0</v>
      </c>
      <c r="L1006">
        <v>260</v>
      </c>
      <c r="M1006">
        <v>0</v>
      </c>
      <c r="N1006">
        <v>70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>
        <v>0</v>
      </c>
      <c r="Z1006">
        <v>0</v>
      </c>
      <c r="AA1006">
        <v>0</v>
      </c>
      <c r="AB1006">
        <v>990</v>
      </c>
    </row>
    <row r="1007" spans="1:28" x14ac:dyDescent="0.25">
      <c r="H1007" t="s">
        <v>2202</v>
      </c>
    </row>
    <row r="1008" spans="1:28" x14ac:dyDescent="0.25">
      <c r="A1008">
        <v>501</v>
      </c>
      <c r="B1008">
        <v>3430</v>
      </c>
      <c r="C1008" t="s">
        <v>2203</v>
      </c>
      <c r="D1008" t="s">
        <v>187</v>
      </c>
      <c r="E1008" t="s">
        <v>20</v>
      </c>
      <c r="F1008" t="s">
        <v>2204</v>
      </c>
      <c r="G1008" t="str">
        <f>"201506001449"</f>
        <v>201506001449</v>
      </c>
      <c r="H1008" t="s">
        <v>208</v>
      </c>
      <c r="I1008">
        <v>0</v>
      </c>
      <c r="J1008">
        <v>0</v>
      </c>
      <c r="K1008">
        <v>0</v>
      </c>
      <c r="L1008">
        <v>200</v>
      </c>
      <c r="M1008">
        <v>0</v>
      </c>
      <c r="N1008">
        <v>50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>
        <v>0</v>
      </c>
      <c r="Z1008">
        <v>0</v>
      </c>
      <c r="AA1008">
        <v>0</v>
      </c>
      <c r="AB1008" t="s">
        <v>2205</v>
      </c>
    </row>
    <row r="1009" spans="1:28" x14ac:dyDescent="0.25">
      <c r="H1009" t="s">
        <v>2206</v>
      </c>
    </row>
    <row r="1010" spans="1:28" x14ac:dyDescent="0.25">
      <c r="A1010">
        <v>502</v>
      </c>
      <c r="B1010">
        <v>2027</v>
      </c>
      <c r="C1010" t="s">
        <v>2207</v>
      </c>
      <c r="D1010" t="s">
        <v>187</v>
      </c>
      <c r="E1010" t="s">
        <v>247</v>
      </c>
      <c r="F1010" t="s">
        <v>2208</v>
      </c>
      <c r="G1010" t="str">
        <f>"201406003453"</f>
        <v>201406003453</v>
      </c>
      <c r="H1010" t="s">
        <v>742</v>
      </c>
      <c r="I1010">
        <v>0</v>
      </c>
      <c r="J1010">
        <v>0</v>
      </c>
      <c r="K1010">
        <v>0</v>
      </c>
      <c r="L1010">
        <v>0</v>
      </c>
      <c r="M1010">
        <v>100</v>
      </c>
      <c r="N1010">
        <v>50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0</v>
      </c>
      <c r="Y1010">
        <v>0</v>
      </c>
      <c r="Z1010">
        <v>0</v>
      </c>
      <c r="AA1010">
        <v>0</v>
      </c>
      <c r="AB1010" t="s">
        <v>2209</v>
      </c>
    </row>
    <row r="1011" spans="1:28" x14ac:dyDescent="0.25">
      <c r="H1011" t="s">
        <v>2210</v>
      </c>
    </row>
    <row r="1012" spans="1:28" x14ac:dyDescent="0.25">
      <c r="A1012">
        <v>503</v>
      </c>
      <c r="B1012">
        <v>1508</v>
      </c>
      <c r="C1012" t="s">
        <v>2211</v>
      </c>
      <c r="D1012" t="s">
        <v>2212</v>
      </c>
      <c r="E1012" t="s">
        <v>2213</v>
      </c>
      <c r="F1012" t="s">
        <v>2214</v>
      </c>
      <c r="G1012" t="str">
        <f>"00209613"</f>
        <v>00209613</v>
      </c>
      <c r="H1012" t="s">
        <v>503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70</v>
      </c>
      <c r="O1012">
        <v>0</v>
      </c>
      <c r="P1012">
        <v>50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>
        <v>0</v>
      </c>
      <c r="Z1012">
        <v>0</v>
      </c>
      <c r="AA1012">
        <v>0</v>
      </c>
      <c r="AB1012" t="s">
        <v>2215</v>
      </c>
    </row>
    <row r="1013" spans="1:28" x14ac:dyDescent="0.25">
      <c r="H1013" t="s">
        <v>2216</v>
      </c>
    </row>
    <row r="1014" spans="1:28" x14ac:dyDescent="0.25">
      <c r="A1014">
        <v>504</v>
      </c>
      <c r="B1014">
        <v>1630</v>
      </c>
      <c r="C1014" t="s">
        <v>2217</v>
      </c>
      <c r="D1014" t="s">
        <v>44</v>
      </c>
      <c r="E1014" t="s">
        <v>417</v>
      </c>
      <c r="F1014" t="s">
        <v>2218</v>
      </c>
      <c r="G1014" t="str">
        <f>"00014365"</f>
        <v>00014365</v>
      </c>
      <c r="H1014" t="s">
        <v>1862</v>
      </c>
      <c r="I1014">
        <v>0</v>
      </c>
      <c r="J1014">
        <v>0</v>
      </c>
      <c r="K1014">
        <v>0</v>
      </c>
      <c r="L1014">
        <v>200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X1014">
        <v>0</v>
      </c>
      <c r="Y1014">
        <v>0</v>
      </c>
      <c r="Z1014">
        <v>0</v>
      </c>
      <c r="AA1014">
        <v>0</v>
      </c>
      <c r="AB1014" t="s">
        <v>2215</v>
      </c>
    </row>
    <row r="1015" spans="1:28" x14ac:dyDescent="0.25">
      <c r="H1015" t="s">
        <v>2219</v>
      </c>
    </row>
    <row r="1016" spans="1:28" x14ac:dyDescent="0.25">
      <c r="A1016">
        <v>505</v>
      </c>
      <c r="B1016">
        <v>2974</v>
      </c>
      <c r="C1016" t="s">
        <v>1548</v>
      </c>
      <c r="D1016" t="s">
        <v>653</v>
      </c>
      <c r="E1016" t="s">
        <v>50</v>
      </c>
      <c r="F1016" t="s">
        <v>2220</v>
      </c>
      <c r="G1016" t="str">
        <f>"201506003742"</f>
        <v>201506003742</v>
      </c>
      <c r="H1016" t="s">
        <v>2221</v>
      </c>
      <c r="I1016">
        <v>0</v>
      </c>
      <c r="J1016">
        <v>0</v>
      </c>
      <c r="K1016">
        <v>0</v>
      </c>
      <c r="L1016">
        <v>200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50</v>
      </c>
      <c r="S1016">
        <v>0</v>
      </c>
      <c r="T1016">
        <v>0</v>
      </c>
      <c r="U1016">
        <v>0</v>
      </c>
      <c r="V1016">
        <v>0</v>
      </c>
      <c r="X1016">
        <v>0</v>
      </c>
      <c r="Y1016">
        <v>0</v>
      </c>
      <c r="Z1016">
        <v>0</v>
      </c>
      <c r="AA1016">
        <v>0</v>
      </c>
      <c r="AB1016" t="s">
        <v>2222</v>
      </c>
    </row>
    <row r="1017" spans="1:28" x14ac:dyDescent="0.25">
      <c r="H1017" t="s">
        <v>102</v>
      </c>
    </row>
    <row r="1018" spans="1:28" x14ac:dyDescent="0.25">
      <c r="A1018">
        <v>506</v>
      </c>
      <c r="B1018">
        <v>72</v>
      </c>
      <c r="C1018" t="s">
        <v>2223</v>
      </c>
      <c r="D1018" t="s">
        <v>80</v>
      </c>
      <c r="E1018" t="s">
        <v>50</v>
      </c>
      <c r="F1018" t="s">
        <v>2224</v>
      </c>
      <c r="G1018" t="str">
        <f>"201304003036"</f>
        <v>201304003036</v>
      </c>
      <c r="H1018" t="s">
        <v>1132</v>
      </c>
      <c r="I1018">
        <v>0</v>
      </c>
      <c r="J1018">
        <v>0</v>
      </c>
      <c r="K1018">
        <v>0</v>
      </c>
      <c r="L1018">
        <v>200</v>
      </c>
      <c r="M1018">
        <v>0</v>
      </c>
      <c r="N1018">
        <v>70</v>
      </c>
      <c r="O1018">
        <v>30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>
        <v>0</v>
      </c>
      <c r="Z1018">
        <v>0</v>
      </c>
      <c r="AA1018">
        <v>0</v>
      </c>
      <c r="AB1018" t="s">
        <v>2225</v>
      </c>
    </row>
    <row r="1019" spans="1:28" x14ac:dyDescent="0.25">
      <c r="H1019" t="s">
        <v>2226</v>
      </c>
    </row>
    <row r="1020" spans="1:28" x14ac:dyDescent="0.25">
      <c r="A1020">
        <v>507</v>
      </c>
      <c r="B1020">
        <v>1571</v>
      </c>
      <c r="C1020" t="s">
        <v>2227</v>
      </c>
      <c r="D1020" t="s">
        <v>366</v>
      </c>
      <c r="E1020" t="s">
        <v>38</v>
      </c>
      <c r="F1020" t="s">
        <v>2228</v>
      </c>
      <c r="G1020" t="str">
        <f>"200801011605"</f>
        <v>200801011605</v>
      </c>
      <c r="H1020" t="s">
        <v>119</v>
      </c>
      <c r="I1020">
        <v>0</v>
      </c>
      <c r="J1020">
        <v>0</v>
      </c>
      <c r="K1020">
        <v>0</v>
      </c>
      <c r="L1020">
        <v>0</v>
      </c>
      <c r="M1020">
        <v>100</v>
      </c>
      <c r="N1020">
        <v>70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0</v>
      </c>
      <c r="Z1020">
        <v>0</v>
      </c>
      <c r="AA1020">
        <v>0</v>
      </c>
      <c r="AB1020" t="s">
        <v>2229</v>
      </c>
    </row>
    <row r="1021" spans="1:28" x14ac:dyDescent="0.25">
      <c r="H1021" t="s">
        <v>2230</v>
      </c>
    </row>
    <row r="1022" spans="1:28" x14ac:dyDescent="0.25">
      <c r="A1022">
        <v>508</v>
      </c>
      <c r="B1022">
        <v>916</v>
      </c>
      <c r="C1022" t="s">
        <v>2231</v>
      </c>
      <c r="D1022" t="s">
        <v>366</v>
      </c>
      <c r="E1022" t="s">
        <v>15</v>
      </c>
      <c r="F1022" t="s">
        <v>2232</v>
      </c>
      <c r="G1022" t="str">
        <f>"200801005279"</f>
        <v>200801005279</v>
      </c>
      <c r="H1022" t="s">
        <v>125</v>
      </c>
      <c r="I1022">
        <v>0</v>
      </c>
      <c r="J1022">
        <v>0</v>
      </c>
      <c r="K1022">
        <v>0</v>
      </c>
      <c r="L1022">
        <v>200</v>
      </c>
      <c r="M1022">
        <v>0</v>
      </c>
      <c r="N1022">
        <v>70</v>
      </c>
      <c r="O1022">
        <v>30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0</v>
      </c>
      <c r="Z1022">
        <v>0</v>
      </c>
      <c r="AA1022">
        <v>0</v>
      </c>
      <c r="AB1022" t="s">
        <v>2233</v>
      </c>
    </row>
    <row r="1023" spans="1:28" x14ac:dyDescent="0.25">
      <c r="H1023" t="s">
        <v>2234</v>
      </c>
    </row>
    <row r="1024" spans="1:28" x14ac:dyDescent="0.25">
      <c r="A1024">
        <v>509</v>
      </c>
      <c r="B1024">
        <v>20</v>
      </c>
      <c r="C1024" t="s">
        <v>1188</v>
      </c>
      <c r="D1024" t="s">
        <v>1329</v>
      </c>
      <c r="E1024" t="s">
        <v>2235</v>
      </c>
      <c r="F1024" t="s">
        <v>2236</v>
      </c>
      <c r="G1024" t="str">
        <f>"00011356"</f>
        <v>00011356</v>
      </c>
      <c r="H1024" t="s">
        <v>130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30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0</v>
      </c>
      <c r="Z1024">
        <v>0</v>
      </c>
      <c r="AA1024">
        <v>0</v>
      </c>
      <c r="AB1024" t="s">
        <v>2237</v>
      </c>
    </row>
    <row r="1025" spans="1:28" x14ac:dyDescent="0.25">
      <c r="H1025">
        <v>1009</v>
      </c>
    </row>
    <row r="1026" spans="1:28" x14ac:dyDescent="0.25">
      <c r="A1026">
        <v>510</v>
      </c>
      <c r="B1026">
        <v>2542</v>
      </c>
      <c r="C1026" t="s">
        <v>2238</v>
      </c>
      <c r="D1026" t="s">
        <v>807</v>
      </c>
      <c r="E1026" t="s">
        <v>51</v>
      </c>
      <c r="F1026" t="s">
        <v>2239</v>
      </c>
      <c r="G1026" t="str">
        <f>"201303000741"</f>
        <v>201303000741</v>
      </c>
      <c r="H1026">
        <v>704</v>
      </c>
      <c r="I1026">
        <v>0</v>
      </c>
      <c r="J1026">
        <v>0</v>
      </c>
      <c r="K1026">
        <v>0</v>
      </c>
      <c r="L1026">
        <v>200</v>
      </c>
      <c r="M1026">
        <v>0</v>
      </c>
      <c r="N1026">
        <v>50</v>
      </c>
      <c r="O1026">
        <v>30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0</v>
      </c>
      <c r="Z1026">
        <v>0</v>
      </c>
      <c r="AA1026">
        <v>0</v>
      </c>
      <c r="AB1026">
        <v>984</v>
      </c>
    </row>
    <row r="1027" spans="1:28" x14ac:dyDescent="0.25">
      <c r="H1027" t="s">
        <v>2240</v>
      </c>
    </row>
    <row r="1028" spans="1:28" x14ac:dyDescent="0.25">
      <c r="A1028">
        <v>511</v>
      </c>
      <c r="B1028">
        <v>3569</v>
      </c>
      <c r="C1028" t="s">
        <v>186</v>
      </c>
      <c r="D1028" t="s">
        <v>138</v>
      </c>
      <c r="E1028" t="s">
        <v>117</v>
      </c>
      <c r="F1028" t="s">
        <v>2241</v>
      </c>
      <c r="G1028" t="str">
        <f>"201304001231"</f>
        <v>201304001231</v>
      </c>
      <c r="H1028" t="s">
        <v>670</v>
      </c>
      <c r="I1028">
        <v>0</v>
      </c>
      <c r="J1028">
        <v>0</v>
      </c>
      <c r="K1028">
        <v>0</v>
      </c>
      <c r="L1028">
        <v>200</v>
      </c>
      <c r="M1028">
        <v>30</v>
      </c>
      <c r="N1028">
        <v>70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>
        <v>0</v>
      </c>
      <c r="Z1028">
        <v>0</v>
      </c>
      <c r="AA1028">
        <v>0</v>
      </c>
      <c r="AB1028" t="s">
        <v>2242</v>
      </c>
    </row>
    <row r="1029" spans="1:28" x14ac:dyDescent="0.25">
      <c r="H1029" t="s">
        <v>2243</v>
      </c>
    </row>
    <row r="1030" spans="1:28" x14ac:dyDescent="0.25">
      <c r="A1030">
        <v>512</v>
      </c>
      <c r="B1030">
        <v>4774</v>
      </c>
      <c r="C1030" t="s">
        <v>2244</v>
      </c>
      <c r="D1030" t="s">
        <v>187</v>
      </c>
      <c r="E1030" t="s">
        <v>80</v>
      </c>
      <c r="F1030" t="s">
        <v>2245</v>
      </c>
      <c r="G1030" t="str">
        <f>"00151844"</f>
        <v>00151844</v>
      </c>
      <c r="H1030" t="s">
        <v>1648</v>
      </c>
      <c r="I1030">
        <v>0</v>
      </c>
      <c r="J1030">
        <v>0</v>
      </c>
      <c r="K1030">
        <v>0</v>
      </c>
      <c r="L1030">
        <v>200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>
        <v>0</v>
      </c>
      <c r="Z1030">
        <v>0</v>
      </c>
      <c r="AA1030">
        <v>0</v>
      </c>
      <c r="AB1030" t="s">
        <v>2246</v>
      </c>
    </row>
    <row r="1031" spans="1:28" x14ac:dyDescent="0.25">
      <c r="H1031" t="s">
        <v>2247</v>
      </c>
    </row>
    <row r="1032" spans="1:28" x14ac:dyDescent="0.25">
      <c r="A1032">
        <v>513</v>
      </c>
      <c r="B1032">
        <v>1595</v>
      </c>
      <c r="C1032" t="s">
        <v>2248</v>
      </c>
      <c r="D1032" t="s">
        <v>2249</v>
      </c>
      <c r="E1032" t="s">
        <v>14</v>
      </c>
      <c r="F1032" t="s">
        <v>2250</v>
      </c>
      <c r="G1032" t="str">
        <f>"00108269"</f>
        <v>00108269</v>
      </c>
      <c r="H1032" t="s">
        <v>912</v>
      </c>
      <c r="I1032">
        <v>0</v>
      </c>
      <c r="J1032">
        <v>0</v>
      </c>
      <c r="K1032">
        <v>0</v>
      </c>
      <c r="L1032">
        <v>0</v>
      </c>
      <c r="M1032">
        <v>100</v>
      </c>
      <c r="N1032">
        <v>70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>
        <v>0</v>
      </c>
      <c r="Z1032">
        <v>0</v>
      </c>
      <c r="AA1032">
        <v>0</v>
      </c>
      <c r="AB1032" t="s">
        <v>2251</v>
      </c>
    </row>
    <row r="1033" spans="1:28" x14ac:dyDescent="0.25">
      <c r="H1033" t="s">
        <v>514</v>
      </c>
    </row>
    <row r="1034" spans="1:28" x14ac:dyDescent="0.25">
      <c r="A1034">
        <v>514</v>
      </c>
      <c r="B1034">
        <v>4892</v>
      </c>
      <c r="C1034" t="s">
        <v>2252</v>
      </c>
      <c r="D1034" t="s">
        <v>2253</v>
      </c>
      <c r="E1034" t="s">
        <v>51</v>
      </c>
      <c r="F1034" t="s">
        <v>2254</v>
      </c>
      <c r="G1034" t="str">
        <f>"201304000564"</f>
        <v>201304000564</v>
      </c>
      <c r="H1034" t="s">
        <v>2255</v>
      </c>
      <c r="I1034">
        <v>0</v>
      </c>
      <c r="J1034">
        <v>0</v>
      </c>
      <c r="K1034">
        <v>0</v>
      </c>
      <c r="L1034">
        <v>200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>
        <v>0</v>
      </c>
      <c r="Z1034">
        <v>0</v>
      </c>
      <c r="AA1034">
        <v>0</v>
      </c>
      <c r="AB1034" t="s">
        <v>2256</v>
      </c>
    </row>
    <row r="1035" spans="1:28" x14ac:dyDescent="0.25">
      <c r="H1035" t="s">
        <v>2257</v>
      </c>
    </row>
    <row r="1036" spans="1:28" x14ac:dyDescent="0.25">
      <c r="A1036">
        <v>515</v>
      </c>
      <c r="B1036">
        <v>2382</v>
      </c>
      <c r="C1036" t="s">
        <v>2258</v>
      </c>
      <c r="D1036" t="s">
        <v>98</v>
      </c>
      <c r="E1036" t="s">
        <v>80</v>
      </c>
      <c r="F1036" t="s">
        <v>2259</v>
      </c>
      <c r="G1036" t="str">
        <f>"00359076"</f>
        <v>00359076</v>
      </c>
      <c r="H1036" t="s">
        <v>267</v>
      </c>
      <c r="I1036">
        <v>0</v>
      </c>
      <c r="J1036">
        <v>0</v>
      </c>
      <c r="K1036">
        <v>0</v>
      </c>
      <c r="L1036">
        <v>200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>
        <v>0</v>
      </c>
      <c r="Z1036">
        <v>0</v>
      </c>
      <c r="AA1036">
        <v>0</v>
      </c>
      <c r="AB1036" t="s">
        <v>2260</v>
      </c>
    </row>
    <row r="1037" spans="1:28" x14ac:dyDescent="0.25">
      <c r="H1037" t="s">
        <v>2261</v>
      </c>
    </row>
    <row r="1038" spans="1:28" x14ac:dyDescent="0.25">
      <c r="A1038">
        <v>516</v>
      </c>
      <c r="B1038">
        <v>1204</v>
      </c>
      <c r="C1038" t="s">
        <v>2262</v>
      </c>
      <c r="D1038" t="s">
        <v>488</v>
      </c>
      <c r="E1038" t="s">
        <v>587</v>
      </c>
      <c r="F1038" t="s">
        <v>2263</v>
      </c>
      <c r="G1038" t="str">
        <f>"201405000655"</f>
        <v>201405000655</v>
      </c>
      <c r="H1038" t="s">
        <v>1888</v>
      </c>
      <c r="I1038">
        <v>0</v>
      </c>
      <c r="J1038">
        <v>0</v>
      </c>
      <c r="K1038">
        <v>0</v>
      </c>
      <c r="L1038">
        <v>260</v>
      </c>
      <c r="M1038">
        <v>0</v>
      </c>
      <c r="N1038">
        <v>50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>
        <v>0</v>
      </c>
      <c r="Z1038">
        <v>0</v>
      </c>
      <c r="AA1038">
        <v>0</v>
      </c>
      <c r="AB1038" t="s">
        <v>2264</v>
      </c>
    </row>
    <row r="1039" spans="1:28" x14ac:dyDescent="0.25">
      <c r="H1039" t="s">
        <v>2265</v>
      </c>
    </row>
    <row r="1040" spans="1:28" x14ac:dyDescent="0.25">
      <c r="A1040">
        <v>517</v>
      </c>
      <c r="B1040">
        <v>2538</v>
      </c>
      <c r="C1040" t="s">
        <v>2266</v>
      </c>
      <c r="D1040" t="s">
        <v>471</v>
      </c>
      <c r="E1040" t="s">
        <v>2267</v>
      </c>
      <c r="F1040" t="s">
        <v>2268</v>
      </c>
      <c r="G1040" t="str">
        <f>"201504004923"</f>
        <v>201504004923</v>
      </c>
      <c r="H1040" t="s">
        <v>284</v>
      </c>
      <c r="I1040">
        <v>0</v>
      </c>
      <c r="J1040">
        <v>0</v>
      </c>
      <c r="K1040">
        <v>0</v>
      </c>
      <c r="L1040">
        <v>200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>
        <v>0</v>
      </c>
      <c r="Z1040">
        <v>0</v>
      </c>
      <c r="AA1040">
        <v>0</v>
      </c>
      <c r="AB1040" t="s">
        <v>2269</v>
      </c>
    </row>
    <row r="1041" spans="1:28" x14ac:dyDescent="0.25">
      <c r="H1041" t="s">
        <v>2270</v>
      </c>
    </row>
    <row r="1042" spans="1:28" x14ac:dyDescent="0.25">
      <c r="A1042">
        <v>518</v>
      </c>
      <c r="B1042">
        <v>1921</v>
      </c>
      <c r="C1042" t="s">
        <v>2271</v>
      </c>
      <c r="D1042" t="s">
        <v>14</v>
      </c>
      <c r="E1042" t="s">
        <v>51</v>
      </c>
      <c r="F1042" t="s">
        <v>2272</v>
      </c>
      <c r="G1042" t="str">
        <f>"201304003166"</f>
        <v>201304003166</v>
      </c>
      <c r="H1042" t="s">
        <v>2273</v>
      </c>
      <c r="I1042">
        <v>0</v>
      </c>
      <c r="J1042">
        <v>0</v>
      </c>
      <c r="K1042">
        <v>0</v>
      </c>
      <c r="L1042">
        <v>200</v>
      </c>
      <c r="M1042">
        <v>0</v>
      </c>
      <c r="N1042">
        <v>70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0</v>
      </c>
      <c r="Z1042">
        <v>0</v>
      </c>
      <c r="AA1042">
        <v>0</v>
      </c>
      <c r="AB1042" t="s">
        <v>2274</v>
      </c>
    </row>
    <row r="1043" spans="1:28" x14ac:dyDescent="0.25">
      <c r="H1043" t="s">
        <v>1478</v>
      </c>
    </row>
    <row r="1044" spans="1:28" x14ac:dyDescent="0.25">
      <c r="A1044">
        <v>519</v>
      </c>
      <c r="B1044">
        <v>1412</v>
      </c>
      <c r="C1044" t="s">
        <v>2275</v>
      </c>
      <c r="D1044" t="s">
        <v>155</v>
      </c>
      <c r="E1044" t="s">
        <v>1025</v>
      </c>
      <c r="F1044" t="s">
        <v>2276</v>
      </c>
      <c r="G1044" t="str">
        <f>"200802003883"</f>
        <v>200802003883</v>
      </c>
      <c r="H1044" t="s">
        <v>2277</v>
      </c>
      <c r="I1044">
        <v>0</v>
      </c>
      <c r="J1044">
        <v>0</v>
      </c>
      <c r="K1044">
        <v>0</v>
      </c>
      <c r="L1044">
        <v>200</v>
      </c>
      <c r="M1044">
        <v>30</v>
      </c>
      <c r="N1044">
        <v>70</v>
      </c>
      <c r="O1044">
        <v>0</v>
      </c>
      <c r="P1044">
        <v>30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>
        <v>0</v>
      </c>
      <c r="Z1044">
        <v>0</v>
      </c>
      <c r="AA1044">
        <v>0</v>
      </c>
      <c r="AB1044" t="s">
        <v>2278</v>
      </c>
    </row>
    <row r="1045" spans="1:28" x14ac:dyDescent="0.25">
      <c r="H1045" t="s">
        <v>2279</v>
      </c>
    </row>
    <row r="1046" spans="1:28" x14ac:dyDescent="0.25">
      <c r="A1046">
        <v>520</v>
      </c>
      <c r="B1046">
        <v>3557</v>
      </c>
      <c r="C1046" t="s">
        <v>1952</v>
      </c>
      <c r="D1046" t="s">
        <v>306</v>
      </c>
      <c r="E1046" t="s">
        <v>38</v>
      </c>
      <c r="F1046" t="s">
        <v>2280</v>
      </c>
      <c r="G1046" t="str">
        <f>"00012237"</f>
        <v>00012237</v>
      </c>
      <c r="H1046" t="s">
        <v>2281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50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>
        <v>0</v>
      </c>
      <c r="Z1046">
        <v>0</v>
      </c>
      <c r="AA1046">
        <v>0</v>
      </c>
      <c r="AB1046" t="s">
        <v>2282</v>
      </c>
    </row>
    <row r="1047" spans="1:28" x14ac:dyDescent="0.25">
      <c r="H1047" t="s">
        <v>2283</v>
      </c>
    </row>
    <row r="1048" spans="1:28" x14ac:dyDescent="0.25">
      <c r="A1048">
        <v>521</v>
      </c>
      <c r="B1048">
        <v>940</v>
      </c>
      <c r="C1048" t="s">
        <v>2284</v>
      </c>
      <c r="D1048" t="s">
        <v>2285</v>
      </c>
      <c r="E1048" t="s">
        <v>277</v>
      </c>
      <c r="F1048" t="s">
        <v>2286</v>
      </c>
      <c r="G1048" t="str">
        <f>"00239804"</f>
        <v>00239804</v>
      </c>
      <c r="H1048" t="s">
        <v>2287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70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>
        <v>0</v>
      </c>
      <c r="Z1048">
        <v>0</v>
      </c>
      <c r="AA1048">
        <v>0</v>
      </c>
      <c r="AB1048" t="s">
        <v>2288</v>
      </c>
    </row>
    <row r="1049" spans="1:28" x14ac:dyDescent="0.25">
      <c r="H1049" t="s">
        <v>2289</v>
      </c>
    </row>
    <row r="1050" spans="1:28" x14ac:dyDescent="0.25">
      <c r="A1050">
        <v>522</v>
      </c>
      <c r="B1050">
        <v>1650</v>
      </c>
      <c r="C1050" t="s">
        <v>1552</v>
      </c>
      <c r="D1050" t="s">
        <v>2290</v>
      </c>
      <c r="E1050" t="s">
        <v>14</v>
      </c>
      <c r="F1050" t="s">
        <v>2291</v>
      </c>
      <c r="G1050" t="str">
        <f>"00226771"</f>
        <v>00226771</v>
      </c>
      <c r="H1050" t="s">
        <v>53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50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>
        <v>0</v>
      </c>
      <c r="Z1050">
        <v>0</v>
      </c>
      <c r="AA1050">
        <v>0</v>
      </c>
      <c r="AB1050" t="s">
        <v>2292</v>
      </c>
    </row>
    <row r="1051" spans="1:28" x14ac:dyDescent="0.25">
      <c r="H1051" t="s">
        <v>2293</v>
      </c>
    </row>
    <row r="1052" spans="1:28" x14ac:dyDescent="0.25">
      <c r="A1052">
        <v>523</v>
      </c>
      <c r="B1052">
        <v>1559</v>
      </c>
      <c r="C1052" t="s">
        <v>2294</v>
      </c>
      <c r="D1052" t="s">
        <v>2119</v>
      </c>
      <c r="E1052" t="s">
        <v>155</v>
      </c>
      <c r="F1052" t="s">
        <v>2295</v>
      </c>
      <c r="G1052" t="str">
        <f>"00235935"</f>
        <v>00235935</v>
      </c>
      <c r="H1052" t="s">
        <v>2296</v>
      </c>
      <c r="I1052">
        <v>0</v>
      </c>
      <c r="J1052">
        <v>0</v>
      </c>
      <c r="K1052">
        <v>0</v>
      </c>
      <c r="L1052">
        <v>200</v>
      </c>
      <c r="M1052">
        <v>0</v>
      </c>
      <c r="N1052">
        <v>70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50</v>
      </c>
      <c r="U1052">
        <v>0</v>
      </c>
      <c r="V1052">
        <v>0</v>
      </c>
      <c r="X1052">
        <v>0</v>
      </c>
      <c r="Y1052">
        <v>0</v>
      </c>
      <c r="Z1052">
        <v>0</v>
      </c>
      <c r="AA1052">
        <v>0</v>
      </c>
      <c r="AB1052" t="s">
        <v>2297</v>
      </c>
    </row>
    <row r="1053" spans="1:28" x14ac:dyDescent="0.25">
      <c r="H1053" t="s">
        <v>2298</v>
      </c>
    </row>
    <row r="1054" spans="1:28" x14ac:dyDescent="0.25">
      <c r="A1054">
        <v>524</v>
      </c>
      <c r="B1054">
        <v>1674</v>
      </c>
      <c r="C1054" t="s">
        <v>2299</v>
      </c>
      <c r="D1054" t="s">
        <v>2300</v>
      </c>
      <c r="E1054" t="s">
        <v>155</v>
      </c>
      <c r="F1054" t="s">
        <v>2301</v>
      </c>
      <c r="G1054" t="str">
        <f>"201409000877"</f>
        <v>201409000877</v>
      </c>
      <c r="H1054" t="s">
        <v>87</v>
      </c>
      <c r="I1054">
        <v>0</v>
      </c>
      <c r="J1054">
        <v>0</v>
      </c>
      <c r="K1054">
        <v>0</v>
      </c>
      <c r="L1054">
        <v>0</v>
      </c>
      <c r="M1054">
        <v>100</v>
      </c>
      <c r="N1054">
        <v>70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>
        <v>0</v>
      </c>
      <c r="Z1054">
        <v>0</v>
      </c>
      <c r="AA1054">
        <v>0</v>
      </c>
      <c r="AB1054" t="s">
        <v>2302</v>
      </c>
    </row>
    <row r="1055" spans="1:28" x14ac:dyDescent="0.25">
      <c r="H1055" t="s">
        <v>2303</v>
      </c>
    </row>
    <row r="1056" spans="1:28" x14ac:dyDescent="0.25">
      <c r="A1056">
        <v>525</v>
      </c>
      <c r="B1056">
        <v>3102</v>
      </c>
      <c r="C1056" t="s">
        <v>2304</v>
      </c>
      <c r="D1056" t="s">
        <v>80</v>
      </c>
      <c r="E1056" t="s">
        <v>14</v>
      </c>
      <c r="F1056" t="s">
        <v>2305</v>
      </c>
      <c r="G1056" t="str">
        <f>"201405001220"</f>
        <v>201405001220</v>
      </c>
      <c r="H1056" t="s">
        <v>2056</v>
      </c>
      <c r="I1056">
        <v>0</v>
      </c>
      <c r="J1056">
        <v>0</v>
      </c>
      <c r="K1056">
        <v>0</v>
      </c>
      <c r="L1056">
        <v>200</v>
      </c>
      <c r="M1056">
        <v>0</v>
      </c>
      <c r="N1056">
        <v>70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>
        <v>0</v>
      </c>
      <c r="Z1056">
        <v>0</v>
      </c>
      <c r="AA1056">
        <v>0</v>
      </c>
      <c r="AB1056" t="s">
        <v>2306</v>
      </c>
    </row>
    <row r="1057" spans="1:28" x14ac:dyDescent="0.25">
      <c r="H1057" t="s">
        <v>2307</v>
      </c>
    </row>
    <row r="1058" spans="1:28" x14ac:dyDescent="0.25">
      <c r="A1058">
        <v>526</v>
      </c>
      <c r="B1058">
        <v>4480</v>
      </c>
      <c r="C1058" t="s">
        <v>2308</v>
      </c>
      <c r="D1058" t="s">
        <v>20</v>
      </c>
      <c r="E1058" t="s">
        <v>50</v>
      </c>
      <c r="F1058" t="s">
        <v>2309</v>
      </c>
      <c r="G1058" t="str">
        <f>"201406008856"</f>
        <v>201406008856</v>
      </c>
      <c r="H1058" t="s">
        <v>2071</v>
      </c>
      <c r="I1058">
        <v>0</v>
      </c>
      <c r="J1058">
        <v>0</v>
      </c>
      <c r="K1058">
        <v>0</v>
      </c>
      <c r="L1058">
        <v>200</v>
      </c>
      <c r="M1058">
        <v>0</v>
      </c>
      <c r="N1058">
        <v>70</v>
      </c>
      <c r="O1058">
        <v>0</v>
      </c>
      <c r="P1058">
        <v>0</v>
      </c>
      <c r="Q1058">
        <v>0</v>
      </c>
      <c r="R1058">
        <v>30</v>
      </c>
      <c r="S1058">
        <v>0</v>
      </c>
      <c r="T1058">
        <v>0</v>
      </c>
      <c r="U1058">
        <v>0</v>
      </c>
      <c r="V1058">
        <v>0</v>
      </c>
      <c r="X1058">
        <v>0</v>
      </c>
      <c r="Y1058">
        <v>0</v>
      </c>
      <c r="Z1058">
        <v>0</v>
      </c>
      <c r="AA1058">
        <v>0</v>
      </c>
      <c r="AB1058" t="s">
        <v>2310</v>
      </c>
    </row>
    <row r="1059" spans="1:28" x14ac:dyDescent="0.25">
      <c r="H1059" t="s">
        <v>2311</v>
      </c>
    </row>
    <row r="1060" spans="1:28" x14ac:dyDescent="0.25">
      <c r="A1060">
        <v>527</v>
      </c>
      <c r="B1060">
        <v>2339</v>
      </c>
      <c r="C1060" t="s">
        <v>2312</v>
      </c>
      <c r="D1060" t="s">
        <v>26</v>
      </c>
      <c r="E1060" t="s">
        <v>14</v>
      </c>
      <c r="F1060" t="s">
        <v>2313</v>
      </c>
      <c r="G1060" t="str">
        <f>"201406005218"</f>
        <v>201406005218</v>
      </c>
      <c r="H1060" t="s">
        <v>1224</v>
      </c>
      <c r="I1060">
        <v>150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>
        <v>0</v>
      </c>
      <c r="Z1060">
        <v>0</v>
      </c>
      <c r="AA1060">
        <v>0</v>
      </c>
      <c r="AB1060" t="s">
        <v>2314</v>
      </c>
    </row>
    <row r="1061" spans="1:28" x14ac:dyDescent="0.25">
      <c r="H1061" t="s">
        <v>152</v>
      </c>
    </row>
    <row r="1062" spans="1:28" x14ac:dyDescent="0.25">
      <c r="A1062">
        <v>528</v>
      </c>
      <c r="B1062">
        <v>4608</v>
      </c>
      <c r="C1062" t="s">
        <v>2315</v>
      </c>
      <c r="D1062" t="s">
        <v>762</v>
      </c>
      <c r="E1062" t="s">
        <v>1180</v>
      </c>
      <c r="F1062" t="s">
        <v>2316</v>
      </c>
      <c r="G1062" t="str">
        <f>"00238380"</f>
        <v>00238380</v>
      </c>
      <c r="H1062" t="s">
        <v>130</v>
      </c>
      <c r="I1062">
        <v>0</v>
      </c>
      <c r="J1062">
        <v>0</v>
      </c>
      <c r="K1062">
        <v>0</v>
      </c>
      <c r="L1062">
        <v>0</v>
      </c>
      <c r="M1062">
        <v>100</v>
      </c>
      <c r="N1062">
        <v>70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>
        <v>0</v>
      </c>
      <c r="Z1062">
        <v>0</v>
      </c>
      <c r="AA1062">
        <v>0</v>
      </c>
      <c r="AB1062" t="s">
        <v>2317</v>
      </c>
    </row>
    <row r="1063" spans="1:28" x14ac:dyDescent="0.25">
      <c r="H1063" t="s">
        <v>432</v>
      </c>
    </row>
    <row r="1064" spans="1:28" x14ac:dyDescent="0.25">
      <c r="A1064">
        <v>529</v>
      </c>
      <c r="B1064">
        <v>100</v>
      </c>
      <c r="C1064" t="s">
        <v>2318</v>
      </c>
      <c r="D1064" t="s">
        <v>333</v>
      </c>
      <c r="E1064" t="s">
        <v>311</v>
      </c>
      <c r="F1064" t="s">
        <v>2319</v>
      </c>
      <c r="G1064" t="str">
        <f>"200810000074"</f>
        <v>200810000074</v>
      </c>
      <c r="H1064" t="s">
        <v>1497</v>
      </c>
      <c r="I1064">
        <v>0</v>
      </c>
      <c r="J1064">
        <v>0</v>
      </c>
      <c r="K1064">
        <v>0</v>
      </c>
      <c r="L1064">
        <v>200</v>
      </c>
      <c r="M1064">
        <v>0</v>
      </c>
      <c r="N1064">
        <v>30</v>
      </c>
      <c r="O1064">
        <v>30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>
        <v>0</v>
      </c>
      <c r="Z1064">
        <v>0</v>
      </c>
      <c r="AA1064">
        <v>0</v>
      </c>
      <c r="AB1064" t="s">
        <v>2320</v>
      </c>
    </row>
    <row r="1065" spans="1:28" x14ac:dyDescent="0.25">
      <c r="H1065" t="s">
        <v>2321</v>
      </c>
    </row>
    <row r="1066" spans="1:28" x14ac:dyDescent="0.25">
      <c r="A1066">
        <v>530</v>
      </c>
      <c r="B1066">
        <v>3447</v>
      </c>
      <c r="C1066" t="s">
        <v>2322</v>
      </c>
      <c r="D1066" t="s">
        <v>26</v>
      </c>
      <c r="E1066" t="s">
        <v>2323</v>
      </c>
      <c r="F1066" t="s">
        <v>2324</v>
      </c>
      <c r="G1066" t="str">
        <f>"201410006422"</f>
        <v>201410006422</v>
      </c>
      <c r="H1066" t="s">
        <v>876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70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1</v>
      </c>
      <c r="Y1066">
        <v>0</v>
      </c>
      <c r="Z1066">
        <v>0</v>
      </c>
      <c r="AA1066">
        <v>0</v>
      </c>
      <c r="AB1066" t="s">
        <v>2325</v>
      </c>
    </row>
    <row r="1067" spans="1:28" x14ac:dyDescent="0.25">
      <c r="H1067" t="s">
        <v>2326</v>
      </c>
    </row>
    <row r="1068" spans="1:28" x14ac:dyDescent="0.25">
      <c r="A1068">
        <v>531</v>
      </c>
      <c r="B1068">
        <v>3952</v>
      </c>
      <c r="C1068" t="s">
        <v>1674</v>
      </c>
      <c r="D1068" t="s">
        <v>2327</v>
      </c>
      <c r="E1068" t="s">
        <v>38</v>
      </c>
      <c r="F1068" t="s">
        <v>2328</v>
      </c>
      <c r="G1068" t="str">
        <f>"00231834"</f>
        <v>00231834</v>
      </c>
      <c r="H1068" t="s">
        <v>2329</v>
      </c>
      <c r="I1068">
        <v>0</v>
      </c>
      <c r="J1068">
        <v>0</v>
      </c>
      <c r="K1068">
        <v>0</v>
      </c>
      <c r="L1068">
        <v>200</v>
      </c>
      <c r="M1068">
        <v>0</v>
      </c>
      <c r="N1068">
        <v>70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>
        <v>0</v>
      </c>
      <c r="Z1068">
        <v>0</v>
      </c>
      <c r="AA1068">
        <v>0</v>
      </c>
      <c r="AB1068" t="s">
        <v>2330</v>
      </c>
    </row>
    <row r="1069" spans="1:28" x14ac:dyDescent="0.25">
      <c r="H1069" t="s">
        <v>2331</v>
      </c>
    </row>
    <row r="1070" spans="1:28" x14ac:dyDescent="0.25">
      <c r="A1070">
        <v>532</v>
      </c>
      <c r="B1070">
        <v>2713</v>
      </c>
      <c r="C1070" t="s">
        <v>2332</v>
      </c>
      <c r="D1070" t="s">
        <v>333</v>
      </c>
      <c r="E1070" t="s">
        <v>155</v>
      </c>
      <c r="F1070" t="s">
        <v>2333</v>
      </c>
      <c r="G1070" t="str">
        <f>"201402004117"</f>
        <v>201402004117</v>
      </c>
      <c r="H1070" t="s">
        <v>977</v>
      </c>
      <c r="I1070">
        <v>0</v>
      </c>
      <c r="J1070">
        <v>0</v>
      </c>
      <c r="K1070">
        <v>0</v>
      </c>
      <c r="L1070">
        <v>200</v>
      </c>
      <c r="M1070">
        <v>0</v>
      </c>
      <c r="N1070">
        <v>30</v>
      </c>
      <c r="O1070">
        <v>30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>
        <v>0</v>
      </c>
      <c r="Z1070">
        <v>0</v>
      </c>
      <c r="AA1070">
        <v>0</v>
      </c>
      <c r="AB1070" t="s">
        <v>2334</v>
      </c>
    </row>
    <row r="1071" spans="1:28" x14ac:dyDescent="0.25">
      <c r="H1071" t="s">
        <v>2335</v>
      </c>
    </row>
    <row r="1072" spans="1:28" x14ac:dyDescent="0.25">
      <c r="A1072">
        <v>533</v>
      </c>
      <c r="B1072">
        <v>115</v>
      </c>
      <c r="C1072" t="s">
        <v>2336</v>
      </c>
      <c r="D1072" t="s">
        <v>366</v>
      </c>
      <c r="E1072" t="s">
        <v>311</v>
      </c>
      <c r="F1072" t="s">
        <v>2337</v>
      </c>
      <c r="G1072" t="str">
        <f>"201304001510"</f>
        <v>201304001510</v>
      </c>
      <c r="H1072" t="s">
        <v>842</v>
      </c>
      <c r="I1072">
        <v>0</v>
      </c>
      <c r="J1072">
        <v>0</v>
      </c>
      <c r="K1072">
        <v>0</v>
      </c>
      <c r="L1072">
        <v>200</v>
      </c>
      <c r="M1072">
        <v>0</v>
      </c>
      <c r="N1072">
        <v>70</v>
      </c>
      <c r="O1072">
        <v>30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0</v>
      </c>
      <c r="Y1072">
        <v>0</v>
      </c>
      <c r="Z1072">
        <v>0</v>
      </c>
      <c r="AA1072">
        <v>0</v>
      </c>
      <c r="AB1072" t="s">
        <v>2338</v>
      </c>
    </row>
    <row r="1073" spans="1:28" x14ac:dyDescent="0.25">
      <c r="H1073" t="s">
        <v>2339</v>
      </c>
    </row>
    <row r="1074" spans="1:28" x14ac:dyDescent="0.25">
      <c r="A1074">
        <v>534</v>
      </c>
      <c r="B1074">
        <v>211</v>
      </c>
      <c r="C1074" t="s">
        <v>2340</v>
      </c>
      <c r="D1074" t="s">
        <v>91</v>
      </c>
      <c r="E1074" t="s">
        <v>212</v>
      </c>
      <c r="F1074" t="s">
        <v>2341</v>
      </c>
      <c r="G1074" t="str">
        <f>"201502001751"</f>
        <v>201502001751</v>
      </c>
      <c r="H1074" t="s">
        <v>2342</v>
      </c>
      <c r="I1074">
        <v>0</v>
      </c>
      <c r="J1074">
        <v>0</v>
      </c>
      <c r="K1074">
        <v>0</v>
      </c>
      <c r="L1074">
        <v>200</v>
      </c>
      <c r="M1074">
        <v>0</v>
      </c>
      <c r="N1074">
        <v>70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>
        <v>0</v>
      </c>
      <c r="Z1074">
        <v>0</v>
      </c>
      <c r="AA1074">
        <v>0</v>
      </c>
      <c r="AB1074" t="s">
        <v>2343</v>
      </c>
    </row>
    <row r="1075" spans="1:28" x14ac:dyDescent="0.25">
      <c r="H1075" t="s">
        <v>2344</v>
      </c>
    </row>
    <row r="1076" spans="1:28" x14ac:dyDescent="0.25">
      <c r="A1076">
        <v>535</v>
      </c>
      <c r="B1076">
        <v>2722</v>
      </c>
      <c r="C1076" t="s">
        <v>2345</v>
      </c>
      <c r="D1076" t="s">
        <v>44</v>
      </c>
      <c r="E1076" t="s">
        <v>15</v>
      </c>
      <c r="F1076" t="s">
        <v>2346</v>
      </c>
      <c r="G1076" t="str">
        <f>"00119776"</f>
        <v>00119776</v>
      </c>
      <c r="H1076" t="s">
        <v>2342</v>
      </c>
      <c r="I1076">
        <v>0</v>
      </c>
      <c r="J1076">
        <v>0</v>
      </c>
      <c r="K1076">
        <v>0</v>
      </c>
      <c r="L1076">
        <v>200</v>
      </c>
      <c r="M1076">
        <v>0</v>
      </c>
      <c r="N1076">
        <v>70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>
        <v>0</v>
      </c>
      <c r="Z1076">
        <v>0</v>
      </c>
      <c r="AA1076">
        <v>0</v>
      </c>
      <c r="AB1076" t="s">
        <v>2343</v>
      </c>
    </row>
    <row r="1077" spans="1:28" x14ac:dyDescent="0.25">
      <c r="H1077" t="s">
        <v>2347</v>
      </c>
    </row>
    <row r="1078" spans="1:28" x14ac:dyDescent="0.25">
      <c r="A1078">
        <v>536</v>
      </c>
      <c r="B1078">
        <v>3469</v>
      </c>
      <c r="C1078" t="s">
        <v>2348</v>
      </c>
      <c r="D1078" t="s">
        <v>2349</v>
      </c>
      <c r="E1078" t="s">
        <v>80</v>
      </c>
      <c r="F1078" t="s">
        <v>2350</v>
      </c>
      <c r="G1078" t="str">
        <f>"201304006292"</f>
        <v>201304006292</v>
      </c>
      <c r="H1078" t="s">
        <v>2001</v>
      </c>
      <c r="I1078">
        <v>0</v>
      </c>
      <c r="J1078">
        <v>0</v>
      </c>
      <c r="K1078">
        <v>0</v>
      </c>
      <c r="L1078">
        <v>200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>
        <v>0</v>
      </c>
      <c r="Z1078">
        <v>0</v>
      </c>
      <c r="AA1078">
        <v>0</v>
      </c>
      <c r="AB1078" t="s">
        <v>2351</v>
      </c>
    </row>
    <row r="1079" spans="1:28" x14ac:dyDescent="0.25">
      <c r="H1079">
        <v>1009</v>
      </c>
    </row>
    <row r="1080" spans="1:28" x14ac:dyDescent="0.25">
      <c r="A1080">
        <v>537</v>
      </c>
      <c r="B1080">
        <v>2799</v>
      </c>
      <c r="C1080" t="s">
        <v>2352</v>
      </c>
      <c r="D1080" t="s">
        <v>19</v>
      </c>
      <c r="E1080" t="s">
        <v>155</v>
      </c>
      <c r="F1080" t="s">
        <v>2353</v>
      </c>
      <c r="G1080" t="str">
        <f>"00128793"</f>
        <v>00128793</v>
      </c>
      <c r="H1080" t="s">
        <v>2001</v>
      </c>
      <c r="I1080">
        <v>0</v>
      </c>
      <c r="J1080">
        <v>0</v>
      </c>
      <c r="K1080">
        <v>0</v>
      </c>
      <c r="L1080">
        <v>200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>
        <v>0</v>
      </c>
      <c r="Z1080">
        <v>0</v>
      </c>
      <c r="AA1080">
        <v>0</v>
      </c>
      <c r="AB1080" t="s">
        <v>2351</v>
      </c>
    </row>
    <row r="1081" spans="1:28" x14ac:dyDescent="0.25">
      <c r="H1081">
        <v>1009</v>
      </c>
    </row>
    <row r="1082" spans="1:28" x14ac:dyDescent="0.25">
      <c r="A1082">
        <v>538</v>
      </c>
      <c r="B1082">
        <v>2150</v>
      </c>
      <c r="C1082" t="s">
        <v>2354</v>
      </c>
      <c r="D1082" t="s">
        <v>38</v>
      </c>
      <c r="E1082" t="s">
        <v>155</v>
      </c>
      <c r="F1082" t="s">
        <v>2355</v>
      </c>
      <c r="G1082" t="str">
        <f>"201406018493"</f>
        <v>201406018493</v>
      </c>
      <c r="H1082" t="s">
        <v>1697</v>
      </c>
      <c r="I1082">
        <v>0</v>
      </c>
      <c r="J1082">
        <v>0</v>
      </c>
      <c r="K1082">
        <v>0</v>
      </c>
      <c r="L1082">
        <v>200</v>
      </c>
      <c r="M1082">
        <v>0</v>
      </c>
      <c r="N1082">
        <v>70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>
        <v>0</v>
      </c>
      <c r="Z1082">
        <v>0</v>
      </c>
      <c r="AA1082">
        <v>0</v>
      </c>
      <c r="AB1082" t="s">
        <v>2356</v>
      </c>
    </row>
    <row r="1083" spans="1:28" x14ac:dyDescent="0.25">
      <c r="H1083" t="s">
        <v>2357</v>
      </c>
    </row>
    <row r="1084" spans="1:28" x14ac:dyDescent="0.25">
      <c r="A1084">
        <v>539</v>
      </c>
      <c r="B1084">
        <v>1200</v>
      </c>
      <c r="C1084" t="s">
        <v>2358</v>
      </c>
      <c r="D1084" t="s">
        <v>1017</v>
      </c>
      <c r="E1084" t="s">
        <v>282</v>
      </c>
      <c r="F1084" t="s">
        <v>2359</v>
      </c>
      <c r="G1084" t="str">
        <f>"00235881"</f>
        <v>00235881</v>
      </c>
      <c r="H1084" t="s">
        <v>2193</v>
      </c>
      <c r="I1084">
        <v>0</v>
      </c>
      <c r="J1084">
        <v>0</v>
      </c>
      <c r="K1084">
        <v>0</v>
      </c>
      <c r="L1084">
        <v>200</v>
      </c>
      <c r="M1084">
        <v>0</v>
      </c>
      <c r="N1084">
        <v>50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>
        <v>0</v>
      </c>
      <c r="Z1084">
        <v>0</v>
      </c>
      <c r="AA1084">
        <v>0</v>
      </c>
      <c r="AB1084" t="s">
        <v>2360</v>
      </c>
    </row>
    <row r="1085" spans="1:28" x14ac:dyDescent="0.25">
      <c r="H1085">
        <v>1009</v>
      </c>
    </row>
    <row r="1086" spans="1:28" x14ac:dyDescent="0.25">
      <c r="A1086">
        <v>540</v>
      </c>
      <c r="B1086">
        <v>3330</v>
      </c>
      <c r="C1086" t="s">
        <v>2361</v>
      </c>
      <c r="D1086" t="s">
        <v>2362</v>
      </c>
      <c r="E1086" t="s">
        <v>2363</v>
      </c>
      <c r="F1086" t="s">
        <v>2364</v>
      </c>
      <c r="G1086" t="str">
        <f>"00357648"</f>
        <v>00357648</v>
      </c>
      <c r="H1086">
        <v>770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70</v>
      </c>
      <c r="O1086">
        <v>30</v>
      </c>
      <c r="P1086">
        <v>0</v>
      </c>
      <c r="Q1086">
        <v>0</v>
      </c>
      <c r="R1086">
        <v>30</v>
      </c>
      <c r="S1086">
        <v>0</v>
      </c>
      <c r="T1086">
        <v>70</v>
      </c>
      <c r="U1086">
        <v>0</v>
      </c>
      <c r="V1086">
        <v>0</v>
      </c>
      <c r="X1086">
        <v>0</v>
      </c>
      <c r="Y1086">
        <v>0</v>
      </c>
      <c r="Z1086">
        <v>0</v>
      </c>
      <c r="AA1086">
        <v>0</v>
      </c>
      <c r="AB1086">
        <v>970</v>
      </c>
    </row>
    <row r="1087" spans="1:28" x14ac:dyDescent="0.25">
      <c r="H1087" t="s">
        <v>1013</v>
      </c>
    </row>
    <row r="1088" spans="1:28" x14ac:dyDescent="0.25">
      <c r="A1088">
        <v>541</v>
      </c>
      <c r="B1088">
        <v>1140</v>
      </c>
      <c r="C1088" t="s">
        <v>2365</v>
      </c>
      <c r="D1088" t="s">
        <v>366</v>
      </c>
      <c r="E1088" t="s">
        <v>155</v>
      </c>
      <c r="F1088" t="s">
        <v>2366</v>
      </c>
      <c r="G1088" t="str">
        <f>"00088790"</f>
        <v>00088790</v>
      </c>
      <c r="H1088" t="s">
        <v>608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0</v>
      </c>
      <c r="Z1088">
        <v>0</v>
      </c>
      <c r="AA1088">
        <v>0</v>
      </c>
      <c r="AB1088" t="s">
        <v>2367</v>
      </c>
    </row>
    <row r="1089" spans="1:28" x14ac:dyDescent="0.25">
      <c r="H1089" t="s">
        <v>2368</v>
      </c>
    </row>
    <row r="1090" spans="1:28" x14ac:dyDescent="0.25">
      <c r="A1090">
        <v>542</v>
      </c>
      <c r="B1090">
        <v>934</v>
      </c>
      <c r="C1090" t="s">
        <v>2369</v>
      </c>
      <c r="D1090" t="s">
        <v>26</v>
      </c>
      <c r="E1090" t="s">
        <v>2370</v>
      </c>
      <c r="F1090" t="s">
        <v>2371</v>
      </c>
      <c r="G1090" t="str">
        <f>"00248333"</f>
        <v>00248333</v>
      </c>
      <c r="H1090" t="s">
        <v>646</v>
      </c>
      <c r="I1090">
        <v>0</v>
      </c>
      <c r="J1090">
        <v>0</v>
      </c>
      <c r="K1090">
        <v>0</v>
      </c>
      <c r="L1090">
        <v>0</v>
      </c>
      <c r="M1090">
        <v>100</v>
      </c>
      <c r="N1090">
        <v>70</v>
      </c>
      <c r="O1090">
        <v>0</v>
      </c>
      <c r="P1090">
        <v>30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0</v>
      </c>
      <c r="Z1090">
        <v>0</v>
      </c>
      <c r="AA1090">
        <v>0</v>
      </c>
      <c r="AB1090" t="s">
        <v>2372</v>
      </c>
    </row>
    <row r="1091" spans="1:28" x14ac:dyDescent="0.25">
      <c r="H1091" t="s">
        <v>409</v>
      </c>
    </row>
    <row r="1092" spans="1:28" x14ac:dyDescent="0.25">
      <c r="A1092">
        <v>543</v>
      </c>
      <c r="B1092">
        <v>2416</v>
      </c>
      <c r="C1092" t="s">
        <v>2373</v>
      </c>
      <c r="D1092" t="s">
        <v>117</v>
      </c>
      <c r="E1092" t="s">
        <v>38</v>
      </c>
      <c r="F1092" t="s">
        <v>2374</v>
      </c>
      <c r="G1092" t="str">
        <f>"200802004059"</f>
        <v>200802004059</v>
      </c>
      <c r="H1092" t="s">
        <v>2375</v>
      </c>
      <c r="I1092">
        <v>0</v>
      </c>
      <c r="J1092">
        <v>0</v>
      </c>
      <c r="K1092">
        <v>0</v>
      </c>
      <c r="L1092">
        <v>200</v>
      </c>
      <c r="M1092">
        <v>30</v>
      </c>
      <c r="N1092">
        <v>70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>
        <v>0</v>
      </c>
      <c r="Z1092">
        <v>0</v>
      </c>
      <c r="AA1092">
        <v>0</v>
      </c>
      <c r="AB1092" t="s">
        <v>2376</v>
      </c>
    </row>
    <row r="1093" spans="1:28" x14ac:dyDescent="0.25">
      <c r="H1093" t="s">
        <v>2377</v>
      </c>
    </row>
    <row r="1094" spans="1:28" x14ac:dyDescent="0.25">
      <c r="A1094">
        <v>544</v>
      </c>
      <c r="B1094">
        <v>2101</v>
      </c>
      <c r="C1094" t="s">
        <v>2378</v>
      </c>
      <c r="D1094" t="s">
        <v>44</v>
      </c>
      <c r="E1094" t="s">
        <v>20</v>
      </c>
      <c r="F1094" t="s">
        <v>2379</v>
      </c>
      <c r="G1094" t="str">
        <f>"200902000514"</f>
        <v>200902000514</v>
      </c>
      <c r="H1094" t="s">
        <v>865</v>
      </c>
      <c r="I1094">
        <v>0</v>
      </c>
      <c r="J1094">
        <v>0</v>
      </c>
      <c r="K1094">
        <v>0</v>
      </c>
      <c r="L1094">
        <v>200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X1094">
        <v>0</v>
      </c>
      <c r="Y1094">
        <v>0</v>
      </c>
      <c r="Z1094">
        <v>0</v>
      </c>
      <c r="AA1094">
        <v>0</v>
      </c>
      <c r="AB1094" t="s">
        <v>2380</v>
      </c>
    </row>
    <row r="1095" spans="1:28" x14ac:dyDescent="0.25">
      <c r="H1095" t="s">
        <v>2381</v>
      </c>
    </row>
    <row r="1096" spans="1:28" x14ac:dyDescent="0.25">
      <c r="A1096">
        <v>545</v>
      </c>
      <c r="B1096">
        <v>661</v>
      </c>
      <c r="C1096" t="s">
        <v>2382</v>
      </c>
      <c r="D1096" t="s">
        <v>20</v>
      </c>
      <c r="E1096" t="s">
        <v>2383</v>
      </c>
      <c r="F1096" t="s">
        <v>2384</v>
      </c>
      <c r="G1096" t="str">
        <f>"00195392"</f>
        <v>00195392</v>
      </c>
      <c r="H1096" t="s">
        <v>2050</v>
      </c>
      <c r="I1096">
        <v>0</v>
      </c>
      <c r="J1096">
        <v>0</v>
      </c>
      <c r="K1096">
        <v>0</v>
      </c>
      <c r="L1096">
        <v>200</v>
      </c>
      <c r="M1096">
        <v>0</v>
      </c>
      <c r="N1096">
        <v>70</v>
      </c>
      <c r="O1096">
        <v>0</v>
      </c>
      <c r="P1096">
        <v>50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0</v>
      </c>
      <c r="Z1096">
        <v>0</v>
      </c>
      <c r="AA1096">
        <v>0</v>
      </c>
      <c r="AB1096" t="s">
        <v>2385</v>
      </c>
    </row>
    <row r="1097" spans="1:28" x14ac:dyDescent="0.25">
      <c r="H1097" t="s">
        <v>2386</v>
      </c>
    </row>
    <row r="1098" spans="1:28" x14ac:dyDescent="0.25">
      <c r="A1098">
        <v>546</v>
      </c>
      <c r="B1098">
        <v>3880</v>
      </c>
      <c r="C1098" t="s">
        <v>2387</v>
      </c>
      <c r="D1098" t="s">
        <v>84</v>
      </c>
      <c r="E1098" t="s">
        <v>1180</v>
      </c>
      <c r="F1098" t="s">
        <v>2388</v>
      </c>
      <c r="G1098" t="str">
        <f>"201303000786"</f>
        <v>201303000786</v>
      </c>
      <c r="H1098" t="s">
        <v>22</v>
      </c>
      <c r="I1098">
        <v>0</v>
      </c>
      <c r="J1098">
        <v>0</v>
      </c>
      <c r="K1098">
        <v>0</v>
      </c>
      <c r="L1098">
        <v>0</v>
      </c>
      <c r="M1098">
        <v>100</v>
      </c>
      <c r="N1098">
        <v>70</v>
      </c>
      <c r="O1098">
        <v>30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>
        <v>0</v>
      </c>
      <c r="Z1098">
        <v>0</v>
      </c>
      <c r="AA1098">
        <v>0</v>
      </c>
      <c r="AB1098" t="s">
        <v>2389</v>
      </c>
    </row>
    <row r="1099" spans="1:28" x14ac:dyDescent="0.25">
      <c r="H1099">
        <v>1009</v>
      </c>
    </row>
    <row r="1100" spans="1:28" x14ac:dyDescent="0.25">
      <c r="A1100">
        <v>547</v>
      </c>
      <c r="B1100">
        <v>4896</v>
      </c>
      <c r="C1100" t="s">
        <v>2390</v>
      </c>
      <c r="D1100" t="s">
        <v>2391</v>
      </c>
      <c r="E1100" t="s">
        <v>2392</v>
      </c>
      <c r="F1100" t="s">
        <v>2393</v>
      </c>
      <c r="G1100" t="str">
        <f>"201406006081"</f>
        <v>201406006081</v>
      </c>
      <c r="H1100" t="s">
        <v>2394</v>
      </c>
      <c r="I1100">
        <v>0</v>
      </c>
      <c r="J1100">
        <v>0</v>
      </c>
      <c r="K1100">
        <v>0</v>
      </c>
      <c r="L1100">
        <v>200</v>
      </c>
      <c r="M1100">
        <v>0</v>
      </c>
      <c r="N1100">
        <v>70</v>
      </c>
      <c r="O1100">
        <v>30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>
        <v>0</v>
      </c>
      <c r="Z1100">
        <v>0</v>
      </c>
      <c r="AA1100">
        <v>0</v>
      </c>
      <c r="AB1100" t="s">
        <v>2395</v>
      </c>
    </row>
    <row r="1101" spans="1:28" x14ac:dyDescent="0.25">
      <c r="H1101" t="s">
        <v>2396</v>
      </c>
    </row>
    <row r="1102" spans="1:28" x14ac:dyDescent="0.25">
      <c r="A1102">
        <v>548</v>
      </c>
      <c r="B1102">
        <v>572</v>
      </c>
      <c r="C1102" t="s">
        <v>2397</v>
      </c>
      <c r="D1102" t="s">
        <v>2398</v>
      </c>
      <c r="E1102" t="s">
        <v>14</v>
      </c>
      <c r="F1102" t="s">
        <v>2399</v>
      </c>
      <c r="G1102" t="str">
        <f>"201502000116"</f>
        <v>201502000116</v>
      </c>
      <c r="H1102" t="s">
        <v>2400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70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>
        <v>0</v>
      </c>
      <c r="Z1102">
        <v>0</v>
      </c>
      <c r="AA1102">
        <v>0</v>
      </c>
      <c r="AB1102" t="s">
        <v>2401</v>
      </c>
    </row>
    <row r="1103" spans="1:28" x14ac:dyDescent="0.25">
      <c r="H1103" t="s">
        <v>2402</v>
      </c>
    </row>
    <row r="1104" spans="1:28" x14ac:dyDescent="0.25">
      <c r="A1104">
        <v>549</v>
      </c>
      <c r="B1104">
        <v>4095</v>
      </c>
      <c r="C1104" t="s">
        <v>2403</v>
      </c>
      <c r="D1104" t="s">
        <v>550</v>
      </c>
      <c r="E1104" t="s">
        <v>80</v>
      </c>
      <c r="F1104" t="s">
        <v>2404</v>
      </c>
      <c r="G1104" t="str">
        <f>"201506003759"</f>
        <v>201506003759</v>
      </c>
      <c r="H1104" t="s">
        <v>2184</v>
      </c>
      <c r="I1104">
        <v>0</v>
      </c>
      <c r="J1104">
        <v>0</v>
      </c>
      <c r="K1104">
        <v>0</v>
      </c>
      <c r="L1104">
        <v>200</v>
      </c>
      <c r="M1104">
        <v>0</v>
      </c>
      <c r="N1104">
        <v>70</v>
      </c>
      <c r="O1104">
        <v>0</v>
      </c>
      <c r="P1104">
        <v>0</v>
      </c>
      <c r="Q1104">
        <v>0</v>
      </c>
      <c r="R1104">
        <v>30</v>
      </c>
      <c r="S1104">
        <v>0</v>
      </c>
      <c r="T1104">
        <v>0</v>
      </c>
      <c r="U1104">
        <v>0</v>
      </c>
      <c r="V1104">
        <v>0</v>
      </c>
      <c r="X1104">
        <v>0</v>
      </c>
      <c r="Y1104">
        <v>0</v>
      </c>
      <c r="Z1104">
        <v>0</v>
      </c>
      <c r="AA1104">
        <v>0</v>
      </c>
      <c r="AB1104" t="s">
        <v>2405</v>
      </c>
    </row>
    <row r="1105" spans="1:28" x14ac:dyDescent="0.25">
      <c r="H1105" t="s">
        <v>2406</v>
      </c>
    </row>
    <row r="1106" spans="1:28" x14ac:dyDescent="0.25">
      <c r="A1106">
        <v>550</v>
      </c>
      <c r="B1106">
        <v>4393</v>
      </c>
      <c r="C1106" t="s">
        <v>2407</v>
      </c>
      <c r="D1106" t="s">
        <v>187</v>
      </c>
      <c r="E1106" t="s">
        <v>218</v>
      </c>
      <c r="F1106" t="s">
        <v>2408</v>
      </c>
      <c r="G1106" t="str">
        <f>"00366612"</f>
        <v>00366612</v>
      </c>
      <c r="H1106">
        <v>858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70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>
        <v>0</v>
      </c>
      <c r="Z1106">
        <v>2</v>
      </c>
      <c r="AA1106">
        <v>34</v>
      </c>
      <c r="AB1106">
        <v>962</v>
      </c>
    </row>
    <row r="1107" spans="1:28" x14ac:dyDescent="0.25">
      <c r="H1107">
        <v>1009</v>
      </c>
    </row>
    <row r="1108" spans="1:28" x14ac:dyDescent="0.25">
      <c r="A1108">
        <v>551</v>
      </c>
      <c r="B1108">
        <v>3547</v>
      </c>
      <c r="C1108" t="s">
        <v>2409</v>
      </c>
      <c r="D1108" t="s">
        <v>98</v>
      </c>
      <c r="E1108" t="s">
        <v>14</v>
      </c>
      <c r="F1108" t="s">
        <v>2410</v>
      </c>
      <c r="G1108" t="str">
        <f>"201406007564"</f>
        <v>201406007564</v>
      </c>
      <c r="H1108" t="s">
        <v>400</v>
      </c>
      <c r="I1108">
        <v>0</v>
      </c>
      <c r="J1108">
        <v>0</v>
      </c>
      <c r="K1108">
        <v>0</v>
      </c>
      <c r="L1108">
        <v>200</v>
      </c>
      <c r="M1108">
        <v>0</v>
      </c>
      <c r="N1108">
        <v>70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0</v>
      </c>
      <c r="Y1108">
        <v>0</v>
      </c>
      <c r="Z1108">
        <v>0</v>
      </c>
      <c r="AA1108">
        <v>0</v>
      </c>
      <c r="AB1108" t="s">
        <v>2411</v>
      </c>
    </row>
    <row r="1109" spans="1:28" x14ac:dyDescent="0.25">
      <c r="H1109" t="s">
        <v>2412</v>
      </c>
    </row>
    <row r="1110" spans="1:28" x14ac:dyDescent="0.25">
      <c r="A1110">
        <v>552</v>
      </c>
      <c r="B1110">
        <v>3801</v>
      </c>
      <c r="C1110" t="s">
        <v>2413</v>
      </c>
      <c r="D1110" t="s">
        <v>311</v>
      </c>
      <c r="E1110" t="s">
        <v>345</v>
      </c>
      <c r="F1110" t="s">
        <v>2414</v>
      </c>
      <c r="G1110" t="str">
        <f>"201506002036"</f>
        <v>201506002036</v>
      </c>
      <c r="H1110" t="s">
        <v>1301</v>
      </c>
      <c r="I1110">
        <v>0</v>
      </c>
      <c r="J1110">
        <v>0</v>
      </c>
      <c r="K1110">
        <v>0</v>
      </c>
      <c r="L1110">
        <v>0</v>
      </c>
      <c r="M1110">
        <v>100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>
        <v>0</v>
      </c>
      <c r="Z1110">
        <v>0</v>
      </c>
      <c r="AA1110">
        <v>0</v>
      </c>
      <c r="AB1110" t="s">
        <v>2415</v>
      </c>
    </row>
    <row r="1111" spans="1:28" x14ac:dyDescent="0.25">
      <c r="H1111">
        <v>1009</v>
      </c>
    </row>
    <row r="1112" spans="1:28" x14ac:dyDescent="0.25">
      <c r="A1112">
        <v>553</v>
      </c>
      <c r="B1112">
        <v>379</v>
      </c>
      <c r="C1112" t="s">
        <v>2416</v>
      </c>
      <c r="D1112" t="s">
        <v>20</v>
      </c>
      <c r="E1112" t="s">
        <v>38</v>
      </c>
      <c r="F1112" t="s">
        <v>2417</v>
      </c>
      <c r="G1112" t="str">
        <f>"00089980"</f>
        <v>00089980</v>
      </c>
      <c r="H1112" t="s">
        <v>1242</v>
      </c>
      <c r="I1112">
        <v>0</v>
      </c>
      <c r="J1112">
        <v>0</v>
      </c>
      <c r="K1112">
        <v>0</v>
      </c>
      <c r="L1112">
        <v>200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>
        <v>0</v>
      </c>
      <c r="Z1112">
        <v>0</v>
      </c>
      <c r="AA1112">
        <v>0</v>
      </c>
      <c r="AB1112" t="s">
        <v>2418</v>
      </c>
    </row>
    <row r="1113" spans="1:28" x14ac:dyDescent="0.25">
      <c r="H1113">
        <v>1009</v>
      </c>
    </row>
    <row r="1114" spans="1:28" x14ac:dyDescent="0.25">
      <c r="A1114">
        <v>554</v>
      </c>
      <c r="B1114">
        <v>4621</v>
      </c>
      <c r="C1114" t="s">
        <v>783</v>
      </c>
      <c r="D1114" t="s">
        <v>471</v>
      </c>
      <c r="E1114" t="s">
        <v>2392</v>
      </c>
      <c r="F1114" t="s">
        <v>2419</v>
      </c>
      <c r="G1114" t="str">
        <f>"201406013130"</f>
        <v>201406013130</v>
      </c>
      <c r="H1114" t="s">
        <v>289</v>
      </c>
      <c r="I1114">
        <v>0</v>
      </c>
      <c r="J1114">
        <v>0</v>
      </c>
      <c r="K1114">
        <v>0</v>
      </c>
      <c r="L1114">
        <v>200</v>
      </c>
      <c r="M1114">
        <v>0</v>
      </c>
      <c r="N1114">
        <v>70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>
        <v>0</v>
      </c>
      <c r="Z1114">
        <v>0</v>
      </c>
      <c r="AA1114">
        <v>0</v>
      </c>
      <c r="AB1114" t="s">
        <v>2420</v>
      </c>
    </row>
    <row r="1115" spans="1:28" x14ac:dyDescent="0.25">
      <c r="H1115" t="s">
        <v>2421</v>
      </c>
    </row>
    <row r="1116" spans="1:28" x14ac:dyDescent="0.25">
      <c r="A1116">
        <v>555</v>
      </c>
      <c r="B1116">
        <v>1788</v>
      </c>
      <c r="C1116" t="s">
        <v>2422</v>
      </c>
      <c r="D1116" t="s">
        <v>19</v>
      </c>
      <c r="E1116" t="s">
        <v>155</v>
      </c>
      <c r="F1116" t="s">
        <v>2423</v>
      </c>
      <c r="G1116" t="str">
        <f>"00316325"</f>
        <v>00316325</v>
      </c>
      <c r="H1116" t="s">
        <v>163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70</v>
      </c>
      <c r="O1116">
        <v>30</v>
      </c>
      <c r="P1116">
        <v>0</v>
      </c>
      <c r="Q1116">
        <v>50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>
        <v>0</v>
      </c>
      <c r="Z1116">
        <v>0</v>
      </c>
      <c r="AA1116">
        <v>0</v>
      </c>
      <c r="AB1116" t="s">
        <v>2424</v>
      </c>
    </row>
    <row r="1117" spans="1:28" x14ac:dyDescent="0.25">
      <c r="H1117" t="s">
        <v>2425</v>
      </c>
    </row>
    <row r="1118" spans="1:28" x14ac:dyDescent="0.25">
      <c r="A1118">
        <v>556</v>
      </c>
      <c r="B1118">
        <v>3989</v>
      </c>
      <c r="C1118" t="s">
        <v>2426</v>
      </c>
      <c r="D1118" t="s">
        <v>50</v>
      </c>
      <c r="E1118" t="s">
        <v>98</v>
      </c>
      <c r="F1118" t="s">
        <v>2427</v>
      </c>
      <c r="G1118" t="str">
        <f>"00366419"</f>
        <v>00366419</v>
      </c>
      <c r="H1118" t="s">
        <v>318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30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>
        <v>0</v>
      </c>
      <c r="Z1118">
        <v>12</v>
      </c>
      <c r="AA1118">
        <v>204</v>
      </c>
      <c r="AB1118" t="s">
        <v>232</v>
      </c>
    </row>
    <row r="1119" spans="1:28" x14ac:dyDescent="0.25">
      <c r="H1119" t="s">
        <v>2428</v>
      </c>
    </row>
    <row r="1120" spans="1:28" x14ac:dyDescent="0.25">
      <c r="A1120">
        <v>557</v>
      </c>
      <c r="B1120">
        <v>2747</v>
      </c>
      <c r="C1120" t="s">
        <v>787</v>
      </c>
      <c r="D1120" t="s">
        <v>70</v>
      </c>
      <c r="E1120" t="s">
        <v>653</v>
      </c>
      <c r="F1120">
        <v>14978</v>
      </c>
      <c r="G1120" t="str">
        <f>"00297149"</f>
        <v>00297149</v>
      </c>
      <c r="H1120" t="s">
        <v>2429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70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0</v>
      </c>
      <c r="Z1120">
        <v>0</v>
      </c>
      <c r="AA1120">
        <v>0</v>
      </c>
      <c r="AB1120" t="s">
        <v>2430</v>
      </c>
    </row>
    <row r="1121" spans="1:28" x14ac:dyDescent="0.25">
      <c r="H1121" t="s">
        <v>2431</v>
      </c>
    </row>
    <row r="1122" spans="1:28" x14ac:dyDescent="0.25">
      <c r="A1122">
        <v>558</v>
      </c>
      <c r="B1122">
        <v>1815</v>
      </c>
      <c r="C1122" t="s">
        <v>382</v>
      </c>
      <c r="D1122" t="s">
        <v>134</v>
      </c>
      <c r="E1122" t="s">
        <v>2432</v>
      </c>
      <c r="F1122" t="s">
        <v>2433</v>
      </c>
      <c r="G1122" t="str">
        <f>"201201000129"</f>
        <v>201201000129</v>
      </c>
      <c r="H1122" t="s">
        <v>2273</v>
      </c>
      <c r="I1122">
        <v>0</v>
      </c>
      <c r="J1122">
        <v>0</v>
      </c>
      <c r="K1122">
        <v>0</v>
      </c>
      <c r="L1122">
        <v>200</v>
      </c>
      <c r="M1122">
        <v>0</v>
      </c>
      <c r="N1122">
        <v>50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>
        <v>0</v>
      </c>
      <c r="Z1122">
        <v>0</v>
      </c>
      <c r="AA1122">
        <v>0</v>
      </c>
      <c r="AB1122" t="s">
        <v>2434</v>
      </c>
    </row>
    <row r="1123" spans="1:28" x14ac:dyDescent="0.25">
      <c r="H1123" t="s">
        <v>2435</v>
      </c>
    </row>
    <row r="1124" spans="1:28" x14ac:dyDescent="0.25">
      <c r="A1124">
        <v>559</v>
      </c>
      <c r="B1124">
        <v>1526</v>
      </c>
      <c r="C1124" t="s">
        <v>2436</v>
      </c>
      <c r="D1124" t="s">
        <v>50</v>
      </c>
      <c r="E1124" t="s">
        <v>155</v>
      </c>
      <c r="F1124" t="s">
        <v>2437</v>
      </c>
      <c r="G1124" t="str">
        <f>"00006402"</f>
        <v>00006402</v>
      </c>
      <c r="H1124" t="s">
        <v>335</v>
      </c>
      <c r="I1124">
        <v>0</v>
      </c>
      <c r="J1124">
        <v>0</v>
      </c>
      <c r="K1124">
        <v>0</v>
      </c>
      <c r="L1124">
        <v>200</v>
      </c>
      <c r="M1124">
        <v>0</v>
      </c>
      <c r="N1124">
        <v>70</v>
      </c>
      <c r="O1124">
        <v>30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>
        <v>0</v>
      </c>
      <c r="Z1124">
        <v>0</v>
      </c>
      <c r="AA1124">
        <v>0</v>
      </c>
      <c r="AB1124" t="s">
        <v>2438</v>
      </c>
    </row>
    <row r="1125" spans="1:28" x14ac:dyDescent="0.25">
      <c r="H1125" t="s">
        <v>2439</v>
      </c>
    </row>
    <row r="1126" spans="1:28" x14ac:dyDescent="0.25">
      <c r="A1126">
        <v>560</v>
      </c>
      <c r="B1126">
        <v>3805</v>
      </c>
      <c r="C1126" t="s">
        <v>2440</v>
      </c>
      <c r="D1126" t="s">
        <v>458</v>
      </c>
      <c r="E1126" t="s">
        <v>80</v>
      </c>
      <c r="F1126" t="s">
        <v>2441</v>
      </c>
      <c r="G1126" t="str">
        <f>"201412005648"</f>
        <v>201412005648</v>
      </c>
      <c r="H1126" t="s">
        <v>150</v>
      </c>
      <c r="I1126">
        <v>0</v>
      </c>
      <c r="J1126">
        <v>0</v>
      </c>
      <c r="K1126">
        <v>0</v>
      </c>
      <c r="L1126">
        <v>0</v>
      </c>
      <c r="M1126">
        <v>100</v>
      </c>
      <c r="N1126">
        <v>70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>
        <v>0</v>
      </c>
      <c r="Z1126">
        <v>0</v>
      </c>
      <c r="AA1126">
        <v>0</v>
      </c>
      <c r="AB1126" t="s">
        <v>2442</v>
      </c>
    </row>
    <row r="1127" spans="1:28" x14ac:dyDescent="0.25">
      <c r="H1127" t="s">
        <v>2443</v>
      </c>
    </row>
    <row r="1128" spans="1:28" x14ac:dyDescent="0.25">
      <c r="A1128">
        <v>561</v>
      </c>
      <c r="B1128">
        <v>1431</v>
      </c>
      <c r="C1128" t="s">
        <v>2444</v>
      </c>
      <c r="D1128" t="s">
        <v>80</v>
      </c>
      <c r="E1128" t="s">
        <v>51</v>
      </c>
      <c r="F1128" t="s">
        <v>2445</v>
      </c>
      <c r="G1128" t="str">
        <f>"00243720"</f>
        <v>00243720</v>
      </c>
      <c r="H1128" t="s">
        <v>1592</v>
      </c>
      <c r="I1128">
        <v>0</v>
      </c>
      <c r="J1128">
        <v>0</v>
      </c>
      <c r="K1128">
        <v>0</v>
      </c>
      <c r="L1128">
        <v>200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>
        <v>0</v>
      </c>
      <c r="Z1128">
        <v>0</v>
      </c>
      <c r="AA1128">
        <v>0</v>
      </c>
      <c r="AB1128" t="s">
        <v>2446</v>
      </c>
    </row>
    <row r="1129" spans="1:28" x14ac:dyDescent="0.25">
      <c r="H1129" t="s">
        <v>2219</v>
      </c>
    </row>
    <row r="1130" spans="1:28" x14ac:dyDescent="0.25">
      <c r="A1130">
        <v>562</v>
      </c>
      <c r="B1130">
        <v>2949</v>
      </c>
      <c r="C1130" t="s">
        <v>2447</v>
      </c>
      <c r="D1130" t="s">
        <v>1006</v>
      </c>
      <c r="E1130" t="s">
        <v>14</v>
      </c>
      <c r="F1130" t="s">
        <v>2448</v>
      </c>
      <c r="G1130" t="str">
        <f>"00236608"</f>
        <v>00236608</v>
      </c>
      <c r="H1130">
        <v>737</v>
      </c>
      <c r="I1130">
        <v>0</v>
      </c>
      <c r="J1130">
        <v>0</v>
      </c>
      <c r="K1130">
        <v>0</v>
      </c>
      <c r="L1130">
        <v>0</v>
      </c>
      <c r="M1130">
        <v>100</v>
      </c>
      <c r="N1130">
        <v>70</v>
      </c>
      <c r="O1130">
        <v>50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1</v>
      </c>
      <c r="Y1130">
        <v>0</v>
      </c>
      <c r="Z1130">
        <v>0</v>
      </c>
      <c r="AA1130">
        <v>0</v>
      </c>
      <c r="AB1130">
        <v>957</v>
      </c>
    </row>
    <row r="1131" spans="1:28" x14ac:dyDescent="0.25">
      <c r="H1131" t="s">
        <v>2449</v>
      </c>
    </row>
    <row r="1132" spans="1:28" x14ac:dyDescent="0.25">
      <c r="A1132">
        <v>563</v>
      </c>
      <c r="B1132">
        <v>975</v>
      </c>
      <c r="C1132" t="s">
        <v>2450</v>
      </c>
      <c r="D1132" t="s">
        <v>1530</v>
      </c>
      <c r="E1132" t="s">
        <v>260</v>
      </c>
      <c r="F1132" t="s">
        <v>2451</v>
      </c>
      <c r="G1132" t="str">
        <f>"00245015"</f>
        <v>00245015</v>
      </c>
      <c r="H1132" t="s">
        <v>798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70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0</v>
      </c>
      <c r="Y1132">
        <v>0</v>
      </c>
      <c r="Z1132">
        <v>4</v>
      </c>
      <c r="AA1132">
        <v>68</v>
      </c>
      <c r="AB1132" t="s">
        <v>2452</v>
      </c>
    </row>
    <row r="1133" spans="1:28" x14ac:dyDescent="0.25">
      <c r="H1133">
        <v>1009</v>
      </c>
    </row>
    <row r="1134" spans="1:28" x14ac:dyDescent="0.25">
      <c r="A1134">
        <v>564</v>
      </c>
      <c r="B1134">
        <v>676</v>
      </c>
      <c r="C1134" t="s">
        <v>619</v>
      </c>
      <c r="D1134" t="s">
        <v>372</v>
      </c>
      <c r="E1134" t="s">
        <v>14</v>
      </c>
      <c r="F1134" t="s">
        <v>2453</v>
      </c>
      <c r="G1134" t="str">
        <f>"00172920"</f>
        <v>00172920</v>
      </c>
      <c r="H1134" t="s">
        <v>753</v>
      </c>
      <c r="I1134">
        <v>0</v>
      </c>
      <c r="J1134">
        <v>0</v>
      </c>
      <c r="K1134">
        <v>0</v>
      </c>
      <c r="L1134">
        <v>0</v>
      </c>
      <c r="M1134">
        <v>100</v>
      </c>
      <c r="N1134">
        <v>30</v>
      </c>
      <c r="O1134">
        <v>30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0</v>
      </c>
      <c r="Y1134">
        <v>0</v>
      </c>
      <c r="Z1134">
        <v>0</v>
      </c>
      <c r="AA1134">
        <v>0</v>
      </c>
      <c r="AB1134" t="s">
        <v>2452</v>
      </c>
    </row>
    <row r="1135" spans="1:28" x14ac:dyDescent="0.25">
      <c r="H1135" t="s">
        <v>1960</v>
      </c>
    </row>
    <row r="1136" spans="1:28" x14ac:dyDescent="0.25">
      <c r="A1136">
        <v>565</v>
      </c>
      <c r="B1136">
        <v>126</v>
      </c>
      <c r="C1136" t="s">
        <v>2454</v>
      </c>
      <c r="D1136" t="s">
        <v>265</v>
      </c>
      <c r="E1136" t="s">
        <v>80</v>
      </c>
      <c r="F1136" t="s">
        <v>2455</v>
      </c>
      <c r="G1136" t="str">
        <f>"201511014684"</f>
        <v>201511014684</v>
      </c>
      <c r="H1136" t="s">
        <v>125</v>
      </c>
      <c r="I1136">
        <v>0</v>
      </c>
      <c r="J1136">
        <v>0</v>
      </c>
      <c r="K1136">
        <v>0</v>
      </c>
      <c r="L1136">
        <v>200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>
        <v>0</v>
      </c>
      <c r="Z1136">
        <v>0</v>
      </c>
      <c r="AA1136">
        <v>0</v>
      </c>
      <c r="AB1136" t="s">
        <v>2452</v>
      </c>
    </row>
    <row r="1137" spans="1:28" x14ac:dyDescent="0.25">
      <c r="H1137" t="s">
        <v>2456</v>
      </c>
    </row>
    <row r="1138" spans="1:28" x14ac:dyDescent="0.25">
      <c r="A1138">
        <v>566</v>
      </c>
      <c r="B1138">
        <v>1909</v>
      </c>
      <c r="C1138" t="s">
        <v>1118</v>
      </c>
      <c r="D1138" t="s">
        <v>2457</v>
      </c>
      <c r="E1138" t="s">
        <v>20</v>
      </c>
      <c r="F1138" t="s">
        <v>2458</v>
      </c>
      <c r="G1138" t="str">
        <f>"201304003172"</f>
        <v>201304003172</v>
      </c>
      <c r="H1138" t="s">
        <v>1417</v>
      </c>
      <c r="I1138">
        <v>0</v>
      </c>
      <c r="J1138">
        <v>0</v>
      </c>
      <c r="K1138">
        <v>0</v>
      </c>
      <c r="L1138">
        <v>200</v>
      </c>
      <c r="M1138">
        <v>0</v>
      </c>
      <c r="N1138">
        <v>50</v>
      </c>
      <c r="O1138">
        <v>0</v>
      </c>
      <c r="P1138">
        <v>30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>
        <v>0</v>
      </c>
      <c r="Z1138">
        <v>3</v>
      </c>
      <c r="AA1138">
        <v>51</v>
      </c>
      <c r="AB1138" t="s">
        <v>2459</v>
      </c>
    </row>
    <row r="1139" spans="1:28" x14ac:dyDescent="0.25">
      <c r="H1139" t="s">
        <v>2460</v>
      </c>
    </row>
    <row r="1140" spans="1:28" x14ac:dyDescent="0.25">
      <c r="A1140">
        <v>567</v>
      </c>
      <c r="B1140">
        <v>4138</v>
      </c>
      <c r="C1140" t="s">
        <v>2461</v>
      </c>
      <c r="D1140" t="s">
        <v>179</v>
      </c>
      <c r="E1140" t="s">
        <v>820</v>
      </c>
      <c r="F1140" t="s">
        <v>2462</v>
      </c>
      <c r="G1140" t="str">
        <f>"00127972"</f>
        <v>00127972</v>
      </c>
      <c r="H1140" t="s">
        <v>2463</v>
      </c>
      <c r="I1140">
        <v>0</v>
      </c>
      <c r="J1140">
        <v>0</v>
      </c>
      <c r="K1140">
        <v>0</v>
      </c>
      <c r="L1140">
        <v>200</v>
      </c>
      <c r="M1140">
        <v>0</v>
      </c>
      <c r="N1140">
        <v>70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>
        <v>0</v>
      </c>
      <c r="Z1140">
        <v>0</v>
      </c>
      <c r="AA1140">
        <v>0</v>
      </c>
      <c r="AB1140" t="s">
        <v>2464</v>
      </c>
    </row>
    <row r="1141" spans="1:28" x14ac:dyDescent="0.25">
      <c r="H1141" t="s">
        <v>2465</v>
      </c>
    </row>
    <row r="1142" spans="1:28" x14ac:dyDescent="0.25">
      <c r="A1142">
        <v>568</v>
      </c>
      <c r="B1142">
        <v>1157</v>
      </c>
      <c r="C1142" t="s">
        <v>2466</v>
      </c>
      <c r="D1142" t="s">
        <v>20</v>
      </c>
      <c r="E1142" t="s">
        <v>80</v>
      </c>
      <c r="F1142" t="s">
        <v>2467</v>
      </c>
      <c r="G1142" t="str">
        <f>"201405000794"</f>
        <v>201405000794</v>
      </c>
      <c r="H1142" t="s">
        <v>318</v>
      </c>
      <c r="I1142">
        <v>0</v>
      </c>
      <c r="J1142">
        <v>0</v>
      </c>
      <c r="K1142">
        <v>0</v>
      </c>
      <c r="L1142">
        <v>200</v>
      </c>
      <c r="M1142">
        <v>30</v>
      </c>
      <c r="N1142">
        <v>30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>
        <v>0</v>
      </c>
      <c r="Z1142">
        <v>0</v>
      </c>
      <c r="AA1142">
        <v>0</v>
      </c>
      <c r="AB1142" t="s">
        <v>2468</v>
      </c>
    </row>
    <row r="1143" spans="1:28" x14ac:dyDescent="0.25">
      <c r="H1143" t="s">
        <v>2469</v>
      </c>
    </row>
    <row r="1144" spans="1:28" x14ac:dyDescent="0.25">
      <c r="A1144">
        <v>569</v>
      </c>
      <c r="B1144">
        <v>4984</v>
      </c>
      <c r="C1144" t="s">
        <v>2470</v>
      </c>
      <c r="D1144" t="s">
        <v>2471</v>
      </c>
      <c r="E1144" t="s">
        <v>14</v>
      </c>
      <c r="F1144" t="s">
        <v>2472</v>
      </c>
      <c r="G1144" t="str">
        <f>"00125128"</f>
        <v>00125128</v>
      </c>
      <c r="H1144" t="s">
        <v>243</v>
      </c>
      <c r="I1144">
        <v>0</v>
      </c>
      <c r="J1144">
        <v>0</v>
      </c>
      <c r="K1144">
        <v>0</v>
      </c>
      <c r="L1144">
        <v>200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>
        <v>0</v>
      </c>
      <c r="Z1144">
        <v>0</v>
      </c>
      <c r="AA1144">
        <v>0</v>
      </c>
      <c r="AB1144" t="s">
        <v>2473</v>
      </c>
    </row>
    <row r="1145" spans="1:28" x14ac:dyDescent="0.25">
      <c r="H1145" t="s">
        <v>2474</v>
      </c>
    </row>
    <row r="1146" spans="1:28" x14ac:dyDescent="0.25">
      <c r="A1146">
        <v>570</v>
      </c>
      <c r="B1146">
        <v>1992</v>
      </c>
      <c r="C1146" t="s">
        <v>2475</v>
      </c>
      <c r="D1146" t="s">
        <v>303</v>
      </c>
      <c r="E1146" t="s">
        <v>393</v>
      </c>
      <c r="F1146" t="s">
        <v>2476</v>
      </c>
      <c r="G1146" t="str">
        <f>"00096583"</f>
        <v>00096583</v>
      </c>
      <c r="H1146" t="s">
        <v>2477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70</v>
      </c>
      <c r="O1146">
        <v>30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0</v>
      </c>
      <c r="Y1146">
        <v>0</v>
      </c>
      <c r="Z1146">
        <v>0</v>
      </c>
      <c r="AA1146">
        <v>0</v>
      </c>
      <c r="AB1146" t="s">
        <v>2478</v>
      </c>
    </row>
    <row r="1147" spans="1:28" x14ac:dyDescent="0.25">
      <c r="H1147" t="s">
        <v>2479</v>
      </c>
    </row>
    <row r="1148" spans="1:28" x14ac:dyDescent="0.25">
      <c r="A1148">
        <v>571</v>
      </c>
      <c r="B1148">
        <v>4098</v>
      </c>
      <c r="C1148" t="s">
        <v>2480</v>
      </c>
      <c r="D1148" t="s">
        <v>69</v>
      </c>
      <c r="E1148" t="s">
        <v>15</v>
      </c>
      <c r="F1148" t="s">
        <v>2481</v>
      </c>
      <c r="G1148" t="str">
        <f>"201405001040"</f>
        <v>201405001040</v>
      </c>
      <c r="H1148" t="s">
        <v>1161</v>
      </c>
      <c r="I1148">
        <v>0</v>
      </c>
      <c r="J1148">
        <v>0</v>
      </c>
      <c r="K1148">
        <v>0</v>
      </c>
      <c r="L1148">
        <v>200</v>
      </c>
      <c r="M1148">
        <v>0</v>
      </c>
      <c r="N1148">
        <v>30</v>
      </c>
      <c r="O1148">
        <v>0</v>
      </c>
      <c r="P1148">
        <v>50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>
        <v>0</v>
      </c>
      <c r="Z1148">
        <v>0</v>
      </c>
      <c r="AA1148">
        <v>0</v>
      </c>
      <c r="AB1148" t="s">
        <v>2482</v>
      </c>
    </row>
    <row r="1149" spans="1:28" x14ac:dyDescent="0.25">
      <c r="H1149" t="s">
        <v>2483</v>
      </c>
    </row>
    <row r="1150" spans="1:28" x14ac:dyDescent="0.25">
      <c r="A1150">
        <v>572</v>
      </c>
      <c r="B1150">
        <v>2891</v>
      </c>
      <c r="C1150" t="s">
        <v>2484</v>
      </c>
      <c r="D1150" t="s">
        <v>218</v>
      </c>
      <c r="E1150" t="s">
        <v>14</v>
      </c>
      <c r="F1150" t="s">
        <v>2485</v>
      </c>
      <c r="G1150" t="str">
        <f>"201412004601"</f>
        <v>201412004601</v>
      </c>
      <c r="H1150" t="s">
        <v>1540</v>
      </c>
      <c r="I1150">
        <v>0</v>
      </c>
      <c r="J1150">
        <v>0</v>
      </c>
      <c r="K1150">
        <v>0</v>
      </c>
      <c r="L1150">
        <v>0</v>
      </c>
      <c r="M1150">
        <v>100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30</v>
      </c>
      <c r="U1150">
        <v>0</v>
      </c>
      <c r="V1150">
        <v>0</v>
      </c>
      <c r="X1150">
        <v>1</v>
      </c>
      <c r="Y1150">
        <v>0</v>
      </c>
      <c r="Z1150">
        <v>0</v>
      </c>
      <c r="AA1150">
        <v>0</v>
      </c>
      <c r="AB1150" t="s">
        <v>2486</v>
      </c>
    </row>
    <row r="1151" spans="1:28" x14ac:dyDescent="0.25">
      <c r="H1151">
        <v>1009</v>
      </c>
    </row>
    <row r="1152" spans="1:28" x14ac:dyDescent="0.25">
      <c r="A1152">
        <v>573</v>
      </c>
      <c r="B1152">
        <v>4355</v>
      </c>
      <c r="C1152" t="s">
        <v>2487</v>
      </c>
      <c r="D1152" t="s">
        <v>1309</v>
      </c>
      <c r="E1152" t="s">
        <v>1036</v>
      </c>
      <c r="F1152" t="s">
        <v>2488</v>
      </c>
      <c r="G1152" t="str">
        <f>"00367325"</f>
        <v>00367325</v>
      </c>
      <c r="H1152" t="s">
        <v>2173</v>
      </c>
      <c r="I1152">
        <v>0</v>
      </c>
      <c r="J1152">
        <v>0</v>
      </c>
      <c r="K1152">
        <v>0</v>
      </c>
      <c r="L1152">
        <v>200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>
        <v>0</v>
      </c>
      <c r="Z1152">
        <v>0</v>
      </c>
      <c r="AA1152">
        <v>0</v>
      </c>
      <c r="AB1152" t="s">
        <v>2489</v>
      </c>
    </row>
    <row r="1153" spans="1:28" x14ac:dyDescent="0.25">
      <c r="H1153">
        <v>1009</v>
      </c>
    </row>
    <row r="1154" spans="1:28" x14ac:dyDescent="0.25">
      <c r="A1154">
        <v>574</v>
      </c>
      <c r="B1154">
        <v>430</v>
      </c>
      <c r="C1154" t="s">
        <v>2490</v>
      </c>
      <c r="D1154" t="s">
        <v>116</v>
      </c>
      <c r="E1154" t="s">
        <v>762</v>
      </c>
      <c r="F1154" t="s">
        <v>2491</v>
      </c>
      <c r="G1154" t="str">
        <f>"201409002085"</f>
        <v>201409002085</v>
      </c>
      <c r="H1154" t="s">
        <v>2492</v>
      </c>
      <c r="I1154">
        <v>0</v>
      </c>
      <c r="J1154">
        <v>0</v>
      </c>
      <c r="K1154">
        <v>0</v>
      </c>
      <c r="L1154">
        <v>200</v>
      </c>
      <c r="M1154">
        <v>0</v>
      </c>
      <c r="N1154">
        <v>70</v>
      </c>
      <c r="O1154">
        <v>0</v>
      </c>
      <c r="P1154">
        <v>0</v>
      </c>
      <c r="Q1154">
        <v>0</v>
      </c>
      <c r="R1154">
        <v>30</v>
      </c>
      <c r="S1154">
        <v>0</v>
      </c>
      <c r="T1154">
        <v>0</v>
      </c>
      <c r="U1154">
        <v>0</v>
      </c>
      <c r="V1154">
        <v>0</v>
      </c>
      <c r="X1154">
        <v>0</v>
      </c>
      <c r="Y1154">
        <v>0</v>
      </c>
      <c r="Z1154">
        <v>0</v>
      </c>
      <c r="AA1154">
        <v>0</v>
      </c>
      <c r="AB1154" t="s">
        <v>2493</v>
      </c>
    </row>
    <row r="1155" spans="1:28" x14ac:dyDescent="0.25">
      <c r="H1155" t="s">
        <v>2494</v>
      </c>
    </row>
    <row r="1156" spans="1:28" x14ac:dyDescent="0.25">
      <c r="A1156">
        <v>575</v>
      </c>
      <c r="B1156">
        <v>3496</v>
      </c>
      <c r="C1156" t="s">
        <v>2495</v>
      </c>
      <c r="D1156" t="s">
        <v>1240</v>
      </c>
      <c r="E1156" t="s">
        <v>657</v>
      </c>
      <c r="F1156" t="s">
        <v>2496</v>
      </c>
      <c r="G1156" t="str">
        <f>"201412004919"</f>
        <v>201412004919</v>
      </c>
      <c r="H1156" t="s">
        <v>961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70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>
        <v>0</v>
      </c>
      <c r="Z1156">
        <v>0</v>
      </c>
      <c r="AA1156">
        <v>0</v>
      </c>
      <c r="AB1156" t="s">
        <v>2497</v>
      </c>
    </row>
    <row r="1157" spans="1:28" x14ac:dyDescent="0.25">
      <c r="H1157" t="s">
        <v>60</v>
      </c>
    </row>
    <row r="1158" spans="1:28" x14ac:dyDescent="0.25">
      <c r="A1158">
        <v>576</v>
      </c>
      <c r="B1158">
        <v>5368</v>
      </c>
      <c r="C1158" t="s">
        <v>2498</v>
      </c>
      <c r="D1158" t="s">
        <v>362</v>
      </c>
      <c r="E1158" t="s">
        <v>311</v>
      </c>
      <c r="F1158" t="s">
        <v>2499</v>
      </c>
      <c r="G1158" t="str">
        <f>"201406015296"</f>
        <v>201406015296</v>
      </c>
      <c r="H1158" t="s">
        <v>2342</v>
      </c>
      <c r="I1158">
        <v>0</v>
      </c>
      <c r="J1158">
        <v>0</v>
      </c>
      <c r="K1158">
        <v>0</v>
      </c>
      <c r="L1158">
        <v>200</v>
      </c>
      <c r="M1158">
        <v>0</v>
      </c>
      <c r="N1158">
        <v>50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0</v>
      </c>
      <c r="Y1158">
        <v>0</v>
      </c>
      <c r="Z1158">
        <v>0</v>
      </c>
      <c r="AA1158">
        <v>0</v>
      </c>
      <c r="AB1158" t="s">
        <v>2500</v>
      </c>
    </row>
    <row r="1159" spans="1:28" x14ac:dyDescent="0.25">
      <c r="H1159" t="s">
        <v>2501</v>
      </c>
    </row>
    <row r="1160" spans="1:28" x14ac:dyDescent="0.25">
      <c r="A1160">
        <v>577</v>
      </c>
      <c r="B1160">
        <v>5170</v>
      </c>
      <c r="C1160" t="s">
        <v>2502</v>
      </c>
      <c r="D1160" t="s">
        <v>2503</v>
      </c>
      <c r="E1160" t="s">
        <v>762</v>
      </c>
      <c r="F1160" t="s">
        <v>2504</v>
      </c>
      <c r="G1160" t="str">
        <f>"201402012035"</f>
        <v>201402012035</v>
      </c>
      <c r="H1160" t="s">
        <v>2193</v>
      </c>
      <c r="I1160">
        <v>0</v>
      </c>
      <c r="J1160">
        <v>0</v>
      </c>
      <c r="K1160">
        <v>0</v>
      </c>
      <c r="L1160">
        <v>200</v>
      </c>
      <c r="M1160">
        <v>0</v>
      </c>
      <c r="N1160">
        <v>30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>
        <v>0</v>
      </c>
      <c r="Z1160">
        <v>0</v>
      </c>
      <c r="AA1160">
        <v>0</v>
      </c>
      <c r="AB1160" t="s">
        <v>2505</v>
      </c>
    </row>
    <row r="1161" spans="1:28" x14ac:dyDescent="0.25">
      <c r="H1161" t="s">
        <v>2506</v>
      </c>
    </row>
    <row r="1162" spans="1:28" x14ac:dyDescent="0.25">
      <c r="A1162">
        <v>578</v>
      </c>
      <c r="B1162">
        <v>991</v>
      </c>
      <c r="C1162" t="s">
        <v>2507</v>
      </c>
      <c r="D1162" t="s">
        <v>758</v>
      </c>
      <c r="E1162" t="s">
        <v>117</v>
      </c>
      <c r="F1162" t="s">
        <v>2508</v>
      </c>
      <c r="G1162" t="str">
        <f>"00239587"</f>
        <v>00239587</v>
      </c>
      <c r="H1162" t="s">
        <v>2509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70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0</v>
      </c>
      <c r="Y1162">
        <v>0</v>
      </c>
      <c r="Z1162">
        <v>0</v>
      </c>
      <c r="AA1162">
        <v>0</v>
      </c>
      <c r="AB1162" t="s">
        <v>2510</v>
      </c>
    </row>
    <row r="1163" spans="1:28" x14ac:dyDescent="0.25">
      <c r="H1163">
        <v>1009</v>
      </c>
    </row>
    <row r="1164" spans="1:28" x14ac:dyDescent="0.25">
      <c r="A1164">
        <v>579</v>
      </c>
      <c r="B1164">
        <v>5204</v>
      </c>
      <c r="C1164" t="s">
        <v>2511</v>
      </c>
      <c r="D1164" t="s">
        <v>14</v>
      </c>
      <c r="E1164" t="s">
        <v>39</v>
      </c>
      <c r="F1164" t="s">
        <v>2512</v>
      </c>
      <c r="G1164" t="str">
        <f>"201406002948"</f>
        <v>201406002948</v>
      </c>
      <c r="H1164" t="s">
        <v>377</v>
      </c>
      <c r="I1164">
        <v>0</v>
      </c>
      <c r="J1164">
        <v>0</v>
      </c>
      <c r="K1164">
        <v>0</v>
      </c>
      <c r="L1164">
        <v>200</v>
      </c>
      <c r="M1164">
        <v>0</v>
      </c>
      <c r="N1164">
        <v>50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>
        <v>0</v>
      </c>
      <c r="Z1164">
        <v>0</v>
      </c>
      <c r="AA1164">
        <v>0</v>
      </c>
      <c r="AB1164" t="s">
        <v>2513</v>
      </c>
    </row>
    <row r="1165" spans="1:28" x14ac:dyDescent="0.25">
      <c r="H1165">
        <v>1009</v>
      </c>
    </row>
    <row r="1166" spans="1:28" x14ac:dyDescent="0.25">
      <c r="A1166">
        <v>580</v>
      </c>
      <c r="B1166">
        <v>1212</v>
      </c>
      <c r="C1166" t="s">
        <v>2514</v>
      </c>
      <c r="D1166" t="s">
        <v>1581</v>
      </c>
      <c r="E1166" t="s">
        <v>155</v>
      </c>
      <c r="F1166" t="s">
        <v>2515</v>
      </c>
      <c r="G1166" t="str">
        <f>"201304000236"</f>
        <v>201304000236</v>
      </c>
      <c r="H1166" t="s">
        <v>175</v>
      </c>
      <c r="I1166">
        <v>0</v>
      </c>
      <c r="J1166">
        <v>0</v>
      </c>
      <c r="K1166">
        <v>0</v>
      </c>
      <c r="L1166">
        <v>0</v>
      </c>
      <c r="M1166">
        <v>100</v>
      </c>
      <c r="N1166">
        <v>70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0</v>
      </c>
      <c r="Y1166">
        <v>0</v>
      </c>
      <c r="Z1166">
        <v>0</v>
      </c>
      <c r="AA1166">
        <v>0</v>
      </c>
      <c r="AB1166" t="s">
        <v>2516</v>
      </c>
    </row>
    <row r="1167" spans="1:28" x14ac:dyDescent="0.25">
      <c r="H1167" t="s">
        <v>2517</v>
      </c>
    </row>
    <row r="1168" spans="1:28" x14ac:dyDescent="0.25">
      <c r="A1168">
        <v>581</v>
      </c>
      <c r="B1168">
        <v>2338</v>
      </c>
      <c r="C1168" t="s">
        <v>2518</v>
      </c>
      <c r="D1168" t="s">
        <v>155</v>
      </c>
      <c r="E1168" t="s">
        <v>134</v>
      </c>
      <c r="F1168" t="s">
        <v>2519</v>
      </c>
      <c r="G1168" t="str">
        <f>"201511024357"</f>
        <v>201511024357</v>
      </c>
      <c r="H1168" t="s">
        <v>2375</v>
      </c>
      <c r="I1168">
        <v>0</v>
      </c>
      <c r="J1168">
        <v>0</v>
      </c>
      <c r="K1168">
        <v>0</v>
      </c>
      <c r="L1168">
        <v>200</v>
      </c>
      <c r="M1168">
        <v>0</v>
      </c>
      <c r="N1168">
        <v>50</v>
      </c>
      <c r="O1168">
        <v>0</v>
      </c>
      <c r="P1168">
        <v>30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0</v>
      </c>
      <c r="Z1168">
        <v>0</v>
      </c>
      <c r="AA1168">
        <v>0</v>
      </c>
      <c r="AB1168" t="s">
        <v>2520</v>
      </c>
    </row>
    <row r="1169" spans="1:28" x14ac:dyDescent="0.25">
      <c r="H1169" t="s">
        <v>2521</v>
      </c>
    </row>
    <row r="1170" spans="1:28" x14ac:dyDescent="0.25">
      <c r="A1170">
        <v>582</v>
      </c>
      <c r="B1170">
        <v>3826</v>
      </c>
      <c r="C1170" t="s">
        <v>2522</v>
      </c>
      <c r="D1170" t="s">
        <v>179</v>
      </c>
      <c r="E1170" t="s">
        <v>14</v>
      </c>
      <c r="F1170" t="s">
        <v>2523</v>
      </c>
      <c r="G1170" t="str">
        <f>"00363181"</f>
        <v>00363181</v>
      </c>
      <c r="H1170" t="s">
        <v>865</v>
      </c>
      <c r="I1170">
        <v>0</v>
      </c>
      <c r="J1170">
        <v>0</v>
      </c>
      <c r="K1170">
        <v>0</v>
      </c>
      <c r="L1170">
        <v>200</v>
      </c>
      <c r="M1170">
        <v>0</v>
      </c>
      <c r="N1170">
        <v>50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0</v>
      </c>
      <c r="Z1170">
        <v>0</v>
      </c>
      <c r="AA1170">
        <v>0</v>
      </c>
      <c r="AB1170" t="s">
        <v>2524</v>
      </c>
    </row>
    <row r="1171" spans="1:28" x14ac:dyDescent="0.25">
      <c r="H1171" t="s">
        <v>2525</v>
      </c>
    </row>
    <row r="1172" spans="1:28" x14ac:dyDescent="0.25">
      <c r="A1172">
        <v>583</v>
      </c>
      <c r="B1172">
        <v>1384</v>
      </c>
      <c r="C1172" t="s">
        <v>2526</v>
      </c>
      <c r="D1172" t="s">
        <v>14</v>
      </c>
      <c r="E1172" t="s">
        <v>218</v>
      </c>
      <c r="F1172" t="s">
        <v>2527</v>
      </c>
      <c r="G1172" t="str">
        <f>"200909000266"</f>
        <v>200909000266</v>
      </c>
      <c r="H1172" t="s">
        <v>389</v>
      </c>
      <c r="I1172">
        <v>0</v>
      </c>
      <c r="J1172">
        <v>0</v>
      </c>
      <c r="K1172">
        <v>0</v>
      </c>
      <c r="L1172">
        <v>200</v>
      </c>
      <c r="M1172">
        <v>0</v>
      </c>
      <c r="N1172">
        <v>70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>
        <v>0</v>
      </c>
      <c r="Z1172">
        <v>0</v>
      </c>
      <c r="AA1172">
        <v>0</v>
      </c>
      <c r="AB1172" t="s">
        <v>2528</v>
      </c>
    </row>
    <row r="1173" spans="1:28" x14ac:dyDescent="0.25">
      <c r="H1173">
        <v>1009</v>
      </c>
    </row>
    <row r="1174" spans="1:28" x14ac:dyDescent="0.25">
      <c r="A1174">
        <v>584</v>
      </c>
      <c r="B1174">
        <v>542</v>
      </c>
      <c r="C1174" t="s">
        <v>2529</v>
      </c>
      <c r="D1174" t="s">
        <v>14</v>
      </c>
      <c r="E1174" t="s">
        <v>155</v>
      </c>
      <c r="F1174" t="s">
        <v>2530</v>
      </c>
      <c r="G1174" t="str">
        <f>"00101520"</f>
        <v>00101520</v>
      </c>
      <c r="H1174" t="s">
        <v>389</v>
      </c>
      <c r="I1174">
        <v>0</v>
      </c>
      <c r="J1174">
        <v>0</v>
      </c>
      <c r="K1174">
        <v>0</v>
      </c>
      <c r="L1174">
        <v>200</v>
      </c>
      <c r="M1174">
        <v>0</v>
      </c>
      <c r="N1174">
        <v>70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1</v>
      </c>
      <c r="Y1174">
        <v>0</v>
      </c>
      <c r="Z1174">
        <v>0</v>
      </c>
      <c r="AA1174">
        <v>0</v>
      </c>
      <c r="AB1174" t="s">
        <v>2528</v>
      </c>
    </row>
    <row r="1175" spans="1:28" x14ac:dyDescent="0.25">
      <c r="H1175" t="s">
        <v>2531</v>
      </c>
    </row>
    <row r="1176" spans="1:28" x14ac:dyDescent="0.25">
      <c r="A1176">
        <v>585</v>
      </c>
      <c r="B1176">
        <v>958</v>
      </c>
      <c r="C1176" t="s">
        <v>2532</v>
      </c>
      <c r="D1176" t="s">
        <v>50</v>
      </c>
      <c r="E1176" t="s">
        <v>20</v>
      </c>
      <c r="F1176" t="s">
        <v>2533</v>
      </c>
      <c r="G1176" t="str">
        <f>"201406013684"</f>
        <v>201406013684</v>
      </c>
      <c r="H1176" t="s">
        <v>2534</v>
      </c>
      <c r="I1176">
        <v>0</v>
      </c>
      <c r="J1176">
        <v>0</v>
      </c>
      <c r="K1176">
        <v>0</v>
      </c>
      <c r="L1176">
        <v>0</v>
      </c>
      <c r="M1176">
        <v>100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>
        <v>0</v>
      </c>
      <c r="Z1176">
        <v>0</v>
      </c>
      <c r="AA1176">
        <v>0</v>
      </c>
      <c r="AB1176" t="s">
        <v>2535</v>
      </c>
    </row>
    <row r="1177" spans="1:28" x14ac:dyDescent="0.25">
      <c r="H1177" t="s">
        <v>2536</v>
      </c>
    </row>
    <row r="1178" spans="1:28" x14ac:dyDescent="0.25">
      <c r="A1178">
        <v>586</v>
      </c>
      <c r="B1178">
        <v>5081</v>
      </c>
      <c r="C1178" t="s">
        <v>928</v>
      </c>
      <c r="D1178" t="s">
        <v>2537</v>
      </c>
      <c r="E1178" t="s">
        <v>51</v>
      </c>
      <c r="F1178" t="s">
        <v>2538</v>
      </c>
      <c r="G1178" t="str">
        <f>"201410010013"</f>
        <v>201410010013</v>
      </c>
      <c r="H1178">
        <v>715</v>
      </c>
      <c r="I1178">
        <v>0</v>
      </c>
      <c r="J1178">
        <v>0</v>
      </c>
      <c r="K1178">
        <v>0</v>
      </c>
      <c r="L1178">
        <v>200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>
        <v>0</v>
      </c>
      <c r="Z1178">
        <v>0</v>
      </c>
      <c r="AA1178">
        <v>0</v>
      </c>
      <c r="AB1178">
        <v>945</v>
      </c>
    </row>
    <row r="1179" spans="1:28" x14ac:dyDescent="0.25">
      <c r="H1179" t="s">
        <v>2539</v>
      </c>
    </row>
    <row r="1180" spans="1:28" x14ac:dyDescent="0.25">
      <c r="A1180">
        <v>587</v>
      </c>
      <c r="B1180">
        <v>1871</v>
      </c>
      <c r="C1180" t="s">
        <v>2540</v>
      </c>
      <c r="D1180" t="s">
        <v>2541</v>
      </c>
      <c r="E1180" t="s">
        <v>51</v>
      </c>
      <c r="F1180" t="s">
        <v>2542</v>
      </c>
      <c r="G1180" t="str">
        <f>"201506003277"</f>
        <v>201506003277</v>
      </c>
      <c r="H1180">
        <v>715</v>
      </c>
      <c r="I1180">
        <v>0</v>
      </c>
      <c r="J1180">
        <v>0</v>
      </c>
      <c r="K1180">
        <v>0</v>
      </c>
      <c r="L1180">
        <v>200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>
        <v>0</v>
      </c>
      <c r="Z1180">
        <v>0</v>
      </c>
      <c r="AA1180">
        <v>0</v>
      </c>
      <c r="AB1180">
        <v>945</v>
      </c>
    </row>
    <row r="1181" spans="1:28" x14ac:dyDescent="0.25">
      <c r="H1181" t="s">
        <v>2543</v>
      </c>
    </row>
    <row r="1182" spans="1:28" x14ac:dyDescent="0.25">
      <c r="A1182">
        <v>588</v>
      </c>
      <c r="B1182">
        <v>5031</v>
      </c>
      <c r="C1182" t="s">
        <v>2544</v>
      </c>
      <c r="D1182" t="s">
        <v>15</v>
      </c>
      <c r="E1182" t="s">
        <v>109</v>
      </c>
      <c r="F1182" t="s">
        <v>2545</v>
      </c>
      <c r="G1182" t="str">
        <f>"201406017748"</f>
        <v>201406017748</v>
      </c>
      <c r="H1182" t="s">
        <v>2071</v>
      </c>
      <c r="I1182">
        <v>0</v>
      </c>
      <c r="J1182">
        <v>0</v>
      </c>
      <c r="K1182">
        <v>0</v>
      </c>
      <c r="L1182">
        <v>200</v>
      </c>
      <c r="M1182">
        <v>0</v>
      </c>
      <c r="N1182">
        <v>70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>
        <v>0</v>
      </c>
      <c r="Z1182">
        <v>0</v>
      </c>
      <c r="AA1182">
        <v>0</v>
      </c>
      <c r="AB1182" t="s">
        <v>2546</v>
      </c>
    </row>
    <row r="1183" spans="1:28" x14ac:dyDescent="0.25">
      <c r="H1183" t="s">
        <v>2547</v>
      </c>
    </row>
    <row r="1184" spans="1:28" x14ac:dyDescent="0.25">
      <c r="A1184">
        <v>589</v>
      </c>
      <c r="B1184">
        <v>4873</v>
      </c>
      <c r="C1184" t="s">
        <v>2548</v>
      </c>
      <c r="D1184" t="s">
        <v>38</v>
      </c>
      <c r="E1184" t="s">
        <v>44</v>
      </c>
      <c r="F1184" t="s">
        <v>2549</v>
      </c>
      <c r="G1184" t="str">
        <f>"00343101"</f>
        <v>00343101</v>
      </c>
      <c r="H1184" t="s">
        <v>2071</v>
      </c>
      <c r="I1184">
        <v>0</v>
      </c>
      <c r="J1184">
        <v>0</v>
      </c>
      <c r="K1184">
        <v>0</v>
      </c>
      <c r="L1184">
        <v>200</v>
      </c>
      <c r="M1184">
        <v>0</v>
      </c>
      <c r="N1184">
        <v>70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>
        <v>0</v>
      </c>
      <c r="Z1184">
        <v>0</v>
      </c>
      <c r="AA1184">
        <v>0</v>
      </c>
      <c r="AB1184" t="s">
        <v>2546</v>
      </c>
    </row>
    <row r="1185" spans="1:28" x14ac:dyDescent="0.25">
      <c r="H1185" t="s">
        <v>2550</v>
      </c>
    </row>
    <row r="1186" spans="1:28" x14ac:dyDescent="0.25">
      <c r="A1186">
        <v>590</v>
      </c>
      <c r="B1186">
        <v>602</v>
      </c>
      <c r="C1186" t="s">
        <v>2551</v>
      </c>
      <c r="D1186" t="s">
        <v>2552</v>
      </c>
      <c r="E1186" t="s">
        <v>762</v>
      </c>
      <c r="F1186" t="s">
        <v>2553</v>
      </c>
      <c r="G1186" t="str">
        <f>"201410008771"</f>
        <v>201410008771</v>
      </c>
      <c r="H1186" t="s">
        <v>2554</v>
      </c>
      <c r="I1186">
        <v>150</v>
      </c>
      <c r="J1186">
        <v>0</v>
      </c>
      <c r="K1186">
        <v>0</v>
      </c>
      <c r="L1186">
        <v>0</v>
      </c>
      <c r="M1186">
        <v>0</v>
      </c>
      <c r="N1186">
        <v>70</v>
      </c>
      <c r="O1186">
        <v>0</v>
      </c>
      <c r="P1186">
        <v>30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0</v>
      </c>
      <c r="Z1186">
        <v>0</v>
      </c>
      <c r="AA1186">
        <v>0</v>
      </c>
      <c r="AB1186" t="s">
        <v>2555</v>
      </c>
    </row>
    <row r="1187" spans="1:28" x14ac:dyDescent="0.25">
      <c r="H1187" t="s">
        <v>2556</v>
      </c>
    </row>
    <row r="1188" spans="1:28" x14ac:dyDescent="0.25">
      <c r="A1188">
        <v>591</v>
      </c>
      <c r="B1188">
        <v>3143</v>
      </c>
      <c r="C1188" t="s">
        <v>2557</v>
      </c>
      <c r="D1188" t="s">
        <v>480</v>
      </c>
      <c r="E1188" t="s">
        <v>80</v>
      </c>
      <c r="F1188" t="s">
        <v>2558</v>
      </c>
      <c r="G1188" t="str">
        <f>"200802007413"</f>
        <v>200802007413</v>
      </c>
      <c r="H1188" t="s">
        <v>2554</v>
      </c>
      <c r="I1188">
        <v>150</v>
      </c>
      <c r="J1188">
        <v>0</v>
      </c>
      <c r="K1188">
        <v>0</v>
      </c>
      <c r="L1188">
        <v>0</v>
      </c>
      <c r="M1188">
        <v>0</v>
      </c>
      <c r="N1188">
        <v>50</v>
      </c>
      <c r="O1188">
        <v>50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0</v>
      </c>
      <c r="Z1188">
        <v>0</v>
      </c>
      <c r="AA1188">
        <v>0</v>
      </c>
      <c r="AB1188" t="s">
        <v>2555</v>
      </c>
    </row>
    <row r="1189" spans="1:28" x14ac:dyDescent="0.25">
      <c r="H1189" t="s">
        <v>1142</v>
      </c>
    </row>
    <row r="1190" spans="1:28" x14ac:dyDescent="0.25">
      <c r="A1190">
        <v>592</v>
      </c>
      <c r="B1190">
        <v>2913</v>
      </c>
      <c r="C1190" t="s">
        <v>2559</v>
      </c>
      <c r="D1190" t="s">
        <v>179</v>
      </c>
      <c r="E1190" t="s">
        <v>247</v>
      </c>
      <c r="F1190" t="s">
        <v>2560</v>
      </c>
      <c r="G1190" t="str">
        <f>"00242748"</f>
        <v>00242748</v>
      </c>
      <c r="H1190" t="s">
        <v>851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70</v>
      </c>
      <c r="O1190">
        <v>50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0</v>
      </c>
      <c r="Y1190">
        <v>0</v>
      </c>
      <c r="Z1190">
        <v>0</v>
      </c>
      <c r="AA1190">
        <v>0</v>
      </c>
      <c r="AB1190" t="s">
        <v>2561</v>
      </c>
    </row>
    <row r="1191" spans="1:28" x14ac:dyDescent="0.25">
      <c r="H1191" t="s">
        <v>2562</v>
      </c>
    </row>
    <row r="1192" spans="1:28" x14ac:dyDescent="0.25">
      <c r="A1192">
        <v>593</v>
      </c>
      <c r="B1192">
        <v>1427</v>
      </c>
      <c r="C1192" t="s">
        <v>2563</v>
      </c>
      <c r="D1192" t="s">
        <v>80</v>
      </c>
      <c r="E1192" t="s">
        <v>14</v>
      </c>
      <c r="F1192" t="s">
        <v>2564</v>
      </c>
      <c r="G1192" t="str">
        <f>"00314756"</f>
        <v>00314756</v>
      </c>
      <c r="H1192" t="s">
        <v>243</v>
      </c>
      <c r="I1192">
        <v>0</v>
      </c>
      <c r="J1192">
        <v>0</v>
      </c>
      <c r="K1192">
        <v>0</v>
      </c>
      <c r="L1192">
        <v>0</v>
      </c>
      <c r="M1192">
        <v>100</v>
      </c>
      <c r="N1192">
        <v>70</v>
      </c>
      <c r="O1192">
        <v>0</v>
      </c>
      <c r="P1192">
        <v>50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>
        <v>0</v>
      </c>
      <c r="Z1192">
        <v>0</v>
      </c>
      <c r="AA1192">
        <v>0</v>
      </c>
      <c r="AB1192" t="s">
        <v>2565</v>
      </c>
    </row>
    <row r="1193" spans="1:28" x14ac:dyDescent="0.25">
      <c r="H1193">
        <v>1009</v>
      </c>
    </row>
    <row r="1194" spans="1:28" x14ac:dyDescent="0.25">
      <c r="A1194">
        <v>594</v>
      </c>
      <c r="B1194">
        <v>4195</v>
      </c>
      <c r="C1194" t="s">
        <v>2566</v>
      </c>
      <c r="D1194" t="s">
        <v>80</v>
      </c>
      <c r="E1194" t="s">
        <v>430</v>
      </c>
      <c r="F1194" t="s">
        <v>2567</v>
      </c>
      <c r="G1194" t="str">
        <f>"201304004763"</f>
        <v>201304004763</v>
      </c>
      <c r="H1194" t="s">
        <v>2568</v>
      </c>
      <c r="I1194">
        <v>0</v>
      </c>
      <c r="J1194">
        <v>0</v>
      </c>
      <c r="K1194">
        <v>0</v>
      </c>
      <c r="L1194">
        <v>260</v>
      </c>
      <c r="M1194">
        <v>0</v>
      </c>
      <c r="N1194">
        <v>50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>
        <v>0</v>
      </c>
      <c r="Z1194">
        <v>0</v>
      </c>
      <c r="AA1194">
        <v>0</v>
      </c>
      <c r="AB1194" t="s">
        <v>2569</v>
      </c>
    </row>
    <row r="1195" spans="1:28" x14ac:dyDescent="0.25">
      <c r="H1195" t="s">
        <v>2570</v>
      </c>
    </row>
    <row r="1196" spans="1:28" x14ac:dyDescent="0.25">
      <c r="A1196">
        <v>595</v>
      </c>
      <c r="B1196">
        <v>1836</v>
      </c>
      <c r="C1196" t="s">
        <v>2571</v>
      </c>
      <c r="D1196" t="s">
        <v>187</v>
      </c>
      <c r="E1196" t="s">
        <v>393</v>
      </c>
      <c r="F1196" t="s">
        <v>2572</v>
      </c>
      <c r="G1196" t="str">
        <f>"201402002926"</f>
        <v>201402002926</v>
      </c>
      <c r="H1196" t="s">
        <v>1161</v>
      </c>
      <c r="I1196">
        <v>0</v>
      </c>
      <c r="J1196">
        <v>0</v>
      </c>
      <c r="K1196">
        <v>0</v>
      </c>
      <c r="L1196">
        <v>200</v>
      </c>
      <c r="M1196">
        <v>0</v>
      </c>
      <c r="N1196">
        <v>70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>
        <v>0</v>
      </c>
      <c r="Z1196">
        <v>0</v>
      </c>
      <c r="AA1196">
        <v>0</v>
      </c>
      <c r="AB1196" t="s">
        <v>2573</v>
      </c>
    </row>
    <row r="1197" spans="1:28" x14ac:dyDescent="0.25">
      <c r="H1197" t="s">
        <v>739</v>
      </c>
    </row>
    <row r="1198" spans="1:28" x14ac:dyDescent="0.25">
      <c r="A1198">
        <v>596</v>
      </c>
      <c r="B1198">
        <v>887</v>
      </c>
      <c r="C1198" t="s">
        <v>2574</v>
      </c>
      <c r="D1198" t="s">
        <v>19</v>
      </c>
      <c r="E1198" t="s">
        <v>38</v>
      </c>
      <c r="F1198" t="s">
        <v>2575</v>
      </c>
      <c r="G1198" t="str">
        <f>"201406011282"</f>
        <v>201406011282</v>
      </c>
      <c r="H1198">
        <v>693</v>
      </c>
      <c r="I1198">
        <v>0</v>
      </c>
      <c r="J1198">
        <v>0</v>
      </c>
      <c r="K1198">
        <v>0</v>
      </c>
      <c r="L1198">
        <v>200</v>
      </c>
      <c r="M1198">
        <v>0</v>
      </c>
      <c r="N1198">
        <v>50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>
        <v>0</v>
      </c>
      <c r="Z1198">
        <v>0</v>
      </c>
      <c r="AA1198">
        <v>0</v>
      </c>
      <c r="AB1198">
        <v>943</v>
      </c>
    </row>
    <row r="1199" spans="1:28" x14ac:dyDescent="0.25">
      <c r="H1199" t="s">
        <v>2576</v>
      </c>
    </row>
    <row r="1200" spans="1:28" x14ac:dyDescent="0.25">
      <c r="A1200">
        <v>597</v>
      </c>
      <c r="B1200">
        <v>4229</v>
      </c>
      <c r="C1200" t="s">
        <v>2577</v>
      </c>
      <c r="D1200" t="s">
        <v>488</v>
      </c>
      <c r="E1200" t="s">
        <v>2578</v>
      </c>
      <c r="F1200" t="s">
        <v>2579</v>
      </c>
      <c r="G1200" t="str">
        <f>"201406014093"</f>
        <v>201406014093</v>
      </c>
      <c r="H1200" t="s">
        <v>781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50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>
        <v>0</v>
      </c>
      <c r="Z1200">
        <v>0</v>
      </c>
      <c r="AA1200">
        <v>0</v>
      </c>
      <c r="AB1200" t="s">
        <v>2580</v>
      </c>
    </row>
    <row r="1201" spans="1:28" x14ac:dyDescent="0.25">
      <c r="H1201" t="s">
        <v>2581</v>
      </c>
    </row>
    <row r="1202" spans="1:28" x14ac:dyDescent="0.25">
      <c r="A1202">
        <v>598</v>
      </c>
      <c r="B1202">
        <v>2917</v>
      </c>
      <c r="C1202" t="s">
        <v>2582</v>
      </c>
      <c r="D1202" t="s">
        <v>1010</v>
      </c>
      <c r="E1202" t="s">
        <v>212</v>
      </c>
      <c r="F1202" t="s">
        <v>2583</v>
      </c>
      <c r="G1202" t="str">
        <f>"00105309"</f>
        <v>00105309</v>
      </c>
      <c r="H1202">
        <v>671</v>
      </c>
      <c r="I1202">
        <v>0</v>
      </c>
      <c r="J1202">
        <v>0</v>
      </c>
      <c r="K1202">
        <v>0</v>
      </c>
      <c r="L1202">
        <v>200</v>
      </c>
      <c r="M1202">
        <v>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>
        <v>0</v>
      </c>
      <c r="Z1202">
        <v>0</v>
      </c>
      <c r="AA1202">
        <v>0</v>
      </c>
      <c r="AB1202">
        <v>941</v>
      </c>
    </row>
    <row r="1203" spans="1:28" x14ac:dyDescent="0.25">
      <c r="H1203" t="s">
        <v>2584</v>
      </c>
    </row>
    <row r="1204" spans="1:28" x14ac:dyDescent="0.25">
      <c r="A1204">
        <v>599</v>
      </c>
      <c r="B1204">
        <v>5002</v>
      </c>
      <c r="C1204" t="s">
        <v>2585</v>
      </c>
      <c r="D1204" t="s">
        <v>2586</v>
      </c>
      <c r="E1204" t="s">
        <v>155</v>
      </c>
      <c r="F1204" t="s">
        <v>2587</v>
      </c>
      <c r="G1204" t="str">
        <f>"201411000962"</f>
        <v>201411000962</v>
      </c>
      <c r="H1204" t="s">
        <v>289</v>
      </c>
      <c r="I1204">
        <v>0</v>
      </c>
      <c r="J1204">
        <v>0</v>
      </c>
      <c r="K1204">
        <v>0</v>
      </c>
      <c r="L1204">
        <v>200</v>
      </c>
      <c r="M1204">
        <v>0</v>
      </c>
      <c r="N1204">
        <v>50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>
        <v>0</v>
      </c>
      <c r="Z1204">
        <v>0</v>
      </c>
      <c r="AA1204">
        <v>0</v>
      </c>
      <c r="AB1204" t="s">
        <v>2588</v>
      </c>
    </row>
    <row r="1205" spans="1:28" x14ac:dyDescent="0.25">
      <c r="H1205" t="s">
        <v>2589</v>
      </c>
    </row>
    <row r="1206" spans="1:28" x14ac:dyDescent="0.25">
      <c r="A1206">
        <v>600</v>
      </c>
      <c r="B1206">
        <v>3753</v>
      </c>
      <c r="C1206" t="s">
        <v>2590</v>
      </c>
      <c r="D1206" t="s">
        <v>187</v>
      </c>
      <c r="E1206" t="s">
        <v>2591</v>
      </c>
      <c r="F1206" t="s">
        <v>2592</v>
      </c>
      <c r="G1206" t="str">
        <f>"201504004722"</f>
        <v>201504004722</v>
      </c>
      <c r="H1206" t="s">
        <v>1412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70</v>
      </c>
      <c r="O1206">
        <v>50</v>
      </c>
      <c r="P1206">
        <v>0</v>
      </c>
      <c r="Q1206">
        <v>30</v>
      </c>
      <c r="R1206">
        <v>30</v>
      </c>
      <c r="S1206">
        <v>0</v>
      </c>
      <c r="T1206">
        <v>0</v>
      </c>
      <c r="U1206">
        <v>30</v>
      </c>
      <c r="V1206">
        <v>0</v>
      </c>
      <c r="X1206">
        <v>0</v>
      </c>
      <c r="Y1206">
        <v>0</v>
      </c>
      <c r="Z1206">
        <v>0</v>
      </c>
      <c r="AA1206">
        <v>0</v>
      </c>
      <c r="AB1206" t="s">
        <v>2593</v>
      </c>
    </row>
    <row r="1207" spans="1:28" x14ac:dyDescent="0.25">
      <c r="H1207" t="s">
        <v>2594</v>
      </c>
    </row>
    <row r="1208" spans="1:28" x14ac:dyDescent="0.25">
      <c r="A1208">
        <v>601</v>
      </c>
      <c r="B1208">
        <v>1026</v>
      </c>
      <c r="C1208" t="s">
        <v>2595</v>
      </c>
      <c r="D1208" t="s">
        <v>387</v>
      </c>
      <c r="E1208" t="s">
        <v>15</v>
      </c>
      <c r="F1208" t="s">
        <v>2596</v>
      </c>
      <c r="G1208" t="str">
        <f>"00108116"</f>
        <v>00108116</v>
      </c>
      <c r="H1208">
        <v>770</v>
      </c>
      <c r="I1208">
        <v>0</v>
      </c>
      <c r="J1208">
        <v>0</v>
      </c>
      <c r="K1208">
        <v>0</v>
      </c>
      <c r="L1208">
        <v>0</v>
      </c>
      <c r="M1208">
        <v>100</v>
      </c>
      <c r="N1208">
        <v>70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>
        <v>0</v>
      </c>
      <c r="Z1208">
        <v>0</v>
      </c>
      <c r="AA1208">
        <v>0</v>
      </c>
      <c r="AB1208">
        <v>940</v>
      </c>
    </row>
    <row r="1209" spans="1:28" x14ac:dyDescent="0.25">
      <c r="H1209" t="s">
        <v>2597</v>
      </c>
    </row>
    <row r="1210" spans="1:28" x14ac:dyDescent="0.25">
      <c r="A1210">
        <v>602</v>
      </c>
      <c r="B1210">
        <v>2391</v>
      </c>
      <c r="C1210" t="s">
        <v>2598</v>
      </c>
      <c r="D1210" t="s">
        <v>19</v>
      </c>
      <c r="E1210" t="s">
        <v>38</v>
      </c>
      <c r="F1210" t="s">
        <v>2599</v>
      </c>
      <c r="G1210" t="str">
        <f>"201405001884"</f>
        <v>201405001884</v>
      </c>
      <c r="H1210" t="s">
        <v>1888</v>
      </c>
      <c r="I1210">
        <v>0</v>
      </c>
      <c r="J1210">
        <v>0</v>
      </c>
      <c r="K1210">
        <v>0</v>
      </c>
      <c r="L1210">
        <v>200</v>
      </c>
      <c r="M1210">
        <v>0</v>
      </c>
      <c r="N1210">
        <v>70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>
        <v>0</v>
      </c>
      <c r="Z1210">
        <v>0</v>
      </c>
      <c r="AA1210">
        <v>0</v>
      </c>
      <c r="AB1210" t="s">
        <v>2600</v>
      </c>
    </row>
    <row r="1211" spans="1:28" x14ac:dyDescent="0.25">
      <c r="H1211" t="s">
        <v>2601</v>
      </c>
    </row>
    <row r="1212" spans="1:28" x14ac:dyDescent="0.25">
      <c r="A1212">
        <v>603</v>
      </c>
      <c r="B1212">
        <v>4907</v>
      </c>
      <c r="C1212" t="s">
        <v>2602</v>
      </c>
      <c r="D1212" t="s">
        <v>14</v>
      </c>
      <c r="E1212" t="s">
        <v>218</v>
      </c>
      <c r="F1212" t="s">
        <v>2603</v>
      </c>
      <c r="G1212" t="str">
        <f>"00222420"</f>
        <v>00222420</v>
      </c>
      <c r="H1212" t="s">
        <v>1750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70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30</v>
      </c>
      <c r="U1212">
        <v>0</v>
      </c>
      <c r="V1212">
        <v>0</v>
      </c>
      <c r="X1212">
        <v>0</v>
      </c>
      <c r="Y1212">
        <v>0</v>
      </c>
      <c r="Z1212">
        <v>7</v>
      </c>
      <c r="AA1212">
        <v>119</v>
      </c>
      <c r="AB1212" t="s">
        <v>2604</v>
      </c>
    </row>
    <row r="1213" spans="1:28" x14ac:dyDescent="0.25">
      <c r="H1213" t="s">
        <v>2605</v>
      </c>
    </row>
    <row r="1214" spans="1:28" x14ac:dyDescent="0.25">
      <c r="A1214">
        <v>604</v>
      </c>
      <c r="B1214">
        <v>192</v>
      </c>
      <c r="C1214" t="s">
        <v>2606</v>
      </c>
      <c r="D1214" t="s">
        <v>757</v>
      </c>
      <c r="E1214" t="s">
        <v>2607</v>
      </c>
      <c r="F1214" t="s">
        <v>2608</v>
      </c>
      <c r="G1214" t="str">
        <f>"201405001627"</f>
        <v>201405001627</v>
      </c>
      <c r="H1214" t="s">
        <v>742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70</v>
      </c>
      <c r="O1214">
        <v>0</v>
      </c>
      <c r="P1214">
        <v>0</v>
      </c>
      <c r="Q1214">
        <v>0</v>
      </c>
      <c r="R1214">
        <v>30</v>
      </c>
      <c r="S1214">
        <v>0</v>
      </c>
      <c r="T1214">
        <v>0</v>
      </c>
      <c r="U1214">
        <v>0</v>
      </c>
      <c r="V1214">
        <v>0</v>
      </c>
      <c r="X1214">
        <v>0</v>
      </c>
      <c r="Y1214">
        <v>0</v>
      </c>
      <c r="Z1214">
        <v>0</v>
      </c>
      <c r="AA1214">
        <v>0</v>
      </c>
      <c r="AB1214" t="s">
        <v>2609</v>
      </c>
    </row>
    <row r="1215" spans="1:28" x14ac:dyDescent="0.25">
      <c r="H1215" t="s">
        <v>2610</v>
      </c>
    </row>
    <row r="1216" spans="1:28" x14ac:dyDescent="0.25">
      <c r="A1216">
        <v>605</v>
      </c>
      <c r="B1216">
        <v>929</v>
      </c>
      <c r="C1216" t="s">
        <v>2611</v>
      </c>
      <c r="D1216" t="s">
        <v>15</v>
      </c>
      <c r="E1216" t="s">
        <v>51</v>
      </c>
      <c r="F1216" t="s">
        <v>2612</v>
      </c>
      <c r="G1216" t="str">
        <f>"201406008826"</f>
        <v>201406008826</v>
      </c>
      <c r="H1216" t="s">
        <v>2221</v>
      </c>
      <c r="I1216">
        <v>0</v>
      </c>
      <c r="J1216">
        <v>0</v>
      </c>
      <c r="K1216">
        <v>0</v>
      </c>
      <c r="L1216">
        <v>200</v>
      </c>
      <c r="M1216">
        <v>0</v>
      </c>
      <c r="N1216">
        <v>70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>
        <v>0</v>
      </c>
      <c r="Z1216">
        <v>0</v>
      </c>
      <c r="AA1216">
        <v>0</v>
      </c>
      <c r="AB1216" t="s">
        <v>2613</v>
      </c>
    </row>
    <row r="1217" spans="1:28" x14ac:dyDescent="0.25">
      <c r="H1217">
        <v>1009</v>
      </c>
    </row>
    <row r="1218" spans="1:28" x14ac:dyDescent="0.25">
      <c r="A1218">
        <v>606</v>
      </c>
      <c r="B1218">
        <v>2785</v>
      </c>
      <c r="C1218" t="s">
        <v>845</v>
      </c>
      <c r="D1218" t="s">
        <v>306</v>
      </c>
      <c r="E1218" t="s">
        <v>20</v>
      </c>
      <c r="F1218" t="s">
        <v>2614</v>
      </c>
      <c r="G1218" t="str">
        <f>"00202433"</f>
        <v>00202433</v>
      </c>
      <c r="H1218" t="s">
        <v>2615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30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>
        <v>0</v>
      </c>
      <c r="Z1218">
        <v>0</v>
      </c>
      <c r="AA1218">
        <v>0</v>
      </c>
      <c r="AB1218" t="s">
        <v>2616</v>
      </c>
    </row>
    <row r="1219" spans="1:28" x14ac:dyDescent="0.25">
      <c r="H1219" t="s">
        <v>2617</v>
      </c>
    </row>
    <row r="1220" spans="1:28" x14ac:dyDescent="0.25">
      <c r="A1220">
        <v>607</v>
      </c>
      <c r="B1220">
        <v>987</v>
      </c>
      <c r="C1220" t="s">
        <v>2618</v>
      </c>
      <c r="D1220" t="s">
        <v>51</v>
      </c>
      <c r="E1220" t="s">
        <v>779</v>
      </c>
      <c r="F1220" t="s">
        <v>2619</v>
      </c>
      <c r="G1220" t="str">
        <f>"201511014806"</f>
        <v>201511014806</v>
      </c>
      <c r="H1220" t="s">
        <v>119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70</v>
      </c>
      <c r="O1220">
        <v>0</v>
      </c>
      <c r="P1220">
        <v>0</v>
      </c>
      <c r="Q1220">
        <v>50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>
        <v>0</v>
      </c>
      <c r="Z1220">
        <v>0</v>
      </c>
      <c r="AA1220">
        <v>0</v>
      </c>
      <c r="AB1220" t="s">
        <v>2620</v>
      </c>
    </row>
    <row r="1221" spans="1:28" x14ac:dyDescent="0.25">
      <c r="H1221" t="s">
        <v>2621</v>
      </c>
    </row>
    <row r="1222" spans="1:28" x14ac:dyDescent="0.25">
      <c r="A1222">
        <v>608</v>
      </c>
      <c r="B1222">
        <v>804</v>
      </c>
      <c r="C1222" t="s">
        <v>2622</v>
      </c>
      <c r="D1222" t="s">
        <v>1017</v>
      </c>
      <c r="E1222" t="s">
        <v>39</v>
      </c>
      <c r="F1222" t="s">
        <v>2623</v>
      </c>
      <c r="G1222" t="str">
        <f>"00127034"</f>
        <v>00127034</v>
      </c>
      <c r="H1222" t="s">
        <v>999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30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>
        <v>0</v>
      </c>
      <c r="Z1222">
        <v>0</v>
      </c>
      <c r="AA1222">
        <v>0</v>
      </c>
      <c r="AB1222" t="s">
        <v>2624</v>
      </c>
    </row>
    <row r="1223" spans="1:28" x14ac:dyDescent="0.25">
      <c r="H1223" t="s">
        <v>2625</v>
      </c>
    </row>
    <row r="1224" spans="1:28" x14ac:dyDescent="0.25">
      <c r="A1224">
        <v>609</v>
      </c>
      <c r="B1224">
        <v>3011</v>
      </c>
      <c r="C1224" t="s">
        <v>2626</v>
      </c>
      <c r="D1224" t="s">
        <v>187</v>
      </c>
      <c r="E1224" t="s">
        <v>38</v>
      </c>
      <c r="F1224" t="s">
        <v>2627</v>
      </c>
      <c r="G1224" t="str">
        <f>"201310000154"</f>
        <v>201310000154</v>
      </c>
      <c r="H1224" t="s">
        <v>686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>
        <v>0</v>
      </c>
      <c r="Z1224">
        <v>0</v>
      </c>
      <c r="AA1224">
        <v>0</v>
      </c>
      <c r="AB1224" t="s">
        <v>2628</v>
      </c>
    </row>
    <row r="1225" spans="1:28" x14ac:dyDescent="0.25">
      <c r="H1225" t="s">
        <v>2629</v>
      </c>
    </row>
    <row r="1226" spans="1:28" x14ac:dyDescent="0.25">
      <c r="A1226">
        <v>610</v>
      </c>
      <c r="B1226">
        <v>1383</v>
      </c>
      <c r="C1226" t="s">
        <v>2630</v>
      </c>
      <c r="D1226" t="s">
        <v>757</v>
      </c>
      <c r="E1226" t="s">
        <v>51</v>
      </c>
      <c r="F1226" t="s">
        <v>2631</v>
      </c>
      <c r="G1226" t="str">
        <f>"201406009527"</f>
        <v>201406009527</v>
      </c>
      <c r="H1226" t="s">
        <v>659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30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>
        <v>0</v>
      </c>
      <c r="Z1226">
        <v>0</v>
      </c>
      <c r="AA1226">
        <v>0</v>
      </c>
      <c r="AB1226" t="s">
        <v>2632</v>
      </c>
    </row>
    <row r="1227" spans="1:28" x14ac:dyDescent="0.25">
      <c r="H1227" t="s">
        <v>2633</v>
      </c>
    </row>
    <row r="1228" spans="1:28" x14ac:dyDescent="0.25">
      <c r="A1228">
        <v>611</v>
      </c>
      <c r="B1228">
        <v>1661</v>
      </c>
      <c r="C1228" t="s">
        <v>2634</v>
      </c>
      <c r="D1228" t="s">
        <v>187</v>
      </c>
      <c r="E1228" t="s">
        <v>154</v>
      </c>
      <c r="F1228" t="s">
        <v>2635</v>
      </c>
      <c r="G1228" t="str">
        <f>"201405001512"</f>
        <v>201405001512</v>
      </c>
      <c r="H1228" t="s">
        <v>249</v>
      </c>
      <c r="I1228">
        <v>0</v>
      </c>
      <c r="J1228">
        <v>0</v>
      </c>
      <c r="K1228">
        <v>0</v>
      </c>
      <c r="L1228">
        <v>0</v>
      </c>
      <c r="M1228">
        <v>100</v>
      </c>
      <c r="N1228">
        <v>30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70</v>
      </c>
      <c r="U1228">
        <v>0</v>
      </c>
      <c r="V1228">
        <v>0</v>
      </c>
      <c r="X1228">
        <v>0</v>
      </c>
      <c r="Y1228">
        <v>0</v>
      </c>
      <c r="Z1228">
        <v>0</v>
      </c>
      <c r="AA1228">
        <v>0</v>
      </c>
      <c r="AB1228" t="s">
        <v>2636</v>
      </c>
    </row>
    <row r="1229" spans="1:28" x14ac:dyDescent="0.25">
      <c r="H1229">
        <v>1009</v>
      </c>
    </row>
    <row r="1230" spans="1:28" x14ac:dyDescent="0.25">
      <c r="A1230">
        <v>612</v>
      </c>
      <c r="B1230">
        <v>2575</v>
      </c>
      <c r="C1230" t="s">
        <v>2637</v>
      </c>
      <c r="D1230" t="s">
        <v>2638</v>
      </c>
      <c r="E1230" t="s">
        <v>218</v>
      </c>
      <c r="F1230" t="s">
        <v>2639</v>
      </c>
      <c r="G1230" t="str">
        <f>"00186484"</f>
        <v>00186484</v>
      </c>
      <c r="H1230">
        <v>803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70</v>
      </c>
      <c r="O1230">
        <v>30</v>
      </c>
      <c r="P1230">
        <v>30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X1230">
        <v>0</v>
      </c>
      <c r="Y1230">
        <v>0</v>
      </c>
      <c r="Z1230">
        <v>0</v>
      </c>
      <c r="AA1230">
        <v>0</v>
      </c>
      <c r="AB1230">
        <v>933</v>
      </c>
    </row>
    <row r="1231" spans="1:28" x14ac:dyDescent="0.25">
      <c r="H1231" t="s">
        <v>152</v>
      </c>
    </row>
    <row r="1232" spans="1:28" x14ac:dyDescent="0.25">
      <c r="A1232">
        <v>613</v>
      </c>
      <c r="B1232">
        <v>4089</v>
      </c>
      <c r="C1232" t="s">
        <v>2640</v>
      </c>
      <c r="D1232" t="s">
        <v>14</v>
      </c>
      <c r="E1232" t="s">
        <v>80</v>
      </c>
      <c r="F1232" t="s">
        <v>2641</v>
      </c>
      <c r="G1232" t="str">
        <f>"201304003240"</f>
        <v>201304003240</v>
      </c>
      <c r="H1232" t="s">
        <v>1086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70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>
        <v>0</v>
      </c>
      <c r="Z1232">
        <v>0</v>
      </c>
      <c r="AA1232">
        <v>0</v>
      </c>
      <c r="AB1232" t="s">
        <v>2642</v>
      </c>
    </row>
    <row r="1233" spans="1:28" x14ac:dyDescent="0.25">
      <c r="H1233" t="s">
        <v>2643</v>
      </c>
    </row>
    <row r="1234" spans="1:28" x14ac:dyDescent="0.25">
      <c r="A1234">
        <v>614</v>
      </c>
      <c r="B1234">
        <v>1456</v>
      </c>
      <c r="C1234" t="s">
        <v>1308</v>
      </c>
      <c r="D1234" t="s">
        <v>2541</v>
      </c>
      <c r="E1234" t="s">
        <v>80</v>
      </c>
      <c r="F1234" t="s">
        <v>2644</v>
      </c>
      <c r="G1234" t="str">
        <f>"00236045"</f>
        <v>00236045</v>
      </c>
      <c r="H1234" t="s">
        <v>330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50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>
        <v>0</v>
      </c>
      <c r="Z1234">
        <v>7</v>
      </c>
      <c r="AA1234">
        <v>119</v>
      </c>
      <c r="AB1234" t="s">
        <v>2642</v>
      </c>
    </row>
    <row r="1235" spans="1:28" x14ac:dyDescent="0.25">
      <c r="H1235">
        <v>1009</v>
      </c>
    </row>
    <row r="1236" spans="1:28" x14ac:dyDescent="0.25">
      <c r="A1236">
        <v>615</v>
      </c>
      <c r="B1236">
        <v>3668</v>
      </c>
      <c r="C1236" t="s">
        <v>2645</v>
      </c>
      <c r="D1236" t="s">
        <v>2646</v>
      </c>
      <c r="E1236" t="s">
        <v>50</v>
      </c>
      <c r="F1236" t="s">
        <v>2647</v>
      </c>
      <c r="G1236" t="str">
        <f>"00243301"</f>
        <v>00243301</v>
      </c>
      <c r="H1236" t="s">
        <v>1213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70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>
        <v>0</v>
      </c>
      <c r="Z1236">
        <v>5</v>
      </c>
      <c r="AA1236">
        <v>85</v>
      </c>
      <c r="AB1236" t="s">
        <v>2648</v>
      </c>
    </row>
    <row r="1237" spans="1:28" x14ac:dyDescent="0.25">
      <c r="H1237" t="s">
        <v>2649</v>
      </c>
    </row>
    <row r="1238" spans="1:28" x14ac:dyDescent="0.25">
      <c r="A1238">
        <v>616</v>
      </c>
      <c r="B1238">
        <v>737</v>
      </c>
      <c r="C1238" t="s">
        <v>2650</v>
      </c>
      <c r="D1238" t="s">
        <v>2065</v>
      </c>
      <c r="E1238" t="s">
        <v>937</v>
      </c>
      <c r="F1238" t="s">
        <v>2651</v>
      </c>
      <c r="G1238" t="str">
        <f>"201101000200"</f>
        <v>201101000200</v>
      </c>
      <c r="H1238">
        <v>660</v>
      </c>
      <c r="I1238">
        <v>0</v>
      </c>
      <c r="J1238">
        <v>0</v>
      </c>
      <c r="K1238">
        <v>0</v>
      </c>
      <c r="L1238">
        <v>200</v>
      </c>
      <c r="M1238">
        <v>0</v>
      </c>
      <c r="N1238">
        <v>70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>
        <v>0</v>
      </c>
      <c r="Z1238">
        <v>0</v>
      </c>
      <c r="AA1238">
        <v>0</v>
      </c>
      <c r="AB1238">
        <v>930</v>
      </c>
    </row>
    <row r="1239" spans="1:28" x14ac:dyDescent="0.25">
      <c r="H1239" t="s">
        <v>2652</v>
      </c>
    </row>
    <row r="1240" spans="1:28" x14ac:dyDescent="0.25">
      <c r="A1240">
        <v>617</v>
      </c>
      <c r="B1240">
        <v>106</v>
      </c>
      <c r="C1240" t="s">
        <v>2653</v>
      </c>
      <c r="D1240" t="s">
        <v>44</v>
      </c>
      <c r="E1240" t="s">
        <v>51</v>
      </c>
      <c r="F1240" t="s">
        <v>2654</v>
      </c>
      <c r="G1240" t="str">
        <f>"201504004547"</f>
        <v>201504004547</v>
      </c>
      <c r="H1240">
        <v>660</v>
      </c>
      <c r="I1240">
        <v>0</v>
      </c>
      <c r="J1240">
        <v>0</v>
      </c>
      <c r="K1240">
        <v>0</v>
      </c>
      <c r="L1240">
        <v>200</v>
      </c>
      <c r="M1240">
        <v>0</v>
      </c>
      <c r="N1240">
        <v>70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0</v>
      </c>
      <c r="Y1240">
        <v>0</v>
      </c>
      <c r="Z1240">
        <v>0</v>
      </c>
      <c r="AA1240">
        <v>0</v>
      </c>
      <c r="AB1240">
        <v>930</v>
      </c>
    </row>
    <row r="1241" spans="1:28" x14ac:dyDescent="0.25">
      <c r="H1241" t="s">
        <v>2655</v>
      </c>
    </row>
    <row r="1242" spans="1:28" x14ac:dyDescent="0.25">
      <c r="A1242">
        <v>618</v>
      </c>
      <c r="B1242">
        <v>5187</v>
      </c>
      <c r="C1242" t="s">
        <v>2656</v>
      </c>
      <c r="D1242" t="s">
        <v>2657</v>
      </c>
      <c r="E1242" t="s">
        <v>14</v>
      </c>
      <c r="F1242" t="s">
        <v>2658</v>
      </c>
      <c r="G1242" t="str">
        <f>"00087386"</f>
        <v>00087386</v>
      </c>
      <c r="H1242" t="s">
        <v>603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30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0</v>
      </c>
      <c r="Y1242">
        <v>0</v>
      </c>
      <c r="Z1242">
        <v>0</v>
      </c>
      <c r="AA1242">
        <v>0</v>
      </c>
      <c r="AB1242" t="s">
        <v>2659</v>
      </c>
    </row>
    <row r="1243" spans="1:28" x14ac:dyDescent="0.25">
      <c r="H1243" t="s">
        <v>1960</v>
      </c>
    </row>
    <row r="1244" spans="1:28" x14ac:dyDescent="0.25">
      <c r="A1244">
        <v>619</v>
      </c>
      <c r="B1244">
        <v>1409</v>
      </c>
      <c r="C1244" t="s">
        <v>2660</v>
      </c>
      <c r="D1244" t="s">
        <v>339</v>
      </c>
      <c r="E1244" t="s">
        <v>80</v>
      </c>
      <c r="F1244" t="s">
        <v>2661</v>
      </c>
      <c r="G1244" t="str">
        <f>"00026805"</f>
        <v>00026805</v>
      </c>
      <c r="H1244" t="s">
        <v>377</v>
      </c>
      <c r="I1244">
        <v>0</v>
      </c>
      <c r="J1244">
        <v>0</v>
      </c>
      <c r="K1244">
        <v>0</v>
      </c>
      <c r="L1244">
        <v>200</v>
      </c>
      <c r="M1244">
        <v>0</v>
      </c>
      <c r="N1244">
        <v>30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0</v>
      </c>
      <c r="Z1244">
        <v>0</v>
      </c>
      <c r="AA1244">
        <v>0</v>
      </c>
      <c r="AB1244" t="s">
        <v>2662</v>
      </c>
    </row>
    <row r="1245" spans="1:28" x14ac:dyDescent="0.25">
      <c r="H1245" t="s">
        <v>2663</v>
      </c>
    </row>
    <row r="1246" spans="1:28" x14ac:dyDescent="0.25">
      <c r="A1246">
        <v>620</v>
      </c>
      <c r="B1246">
        <v>280</v>
      </c>
      <c r="C1246" t="s">
        <v>2664</v>
      </c>
      <c r="D1246" t="s">
        <v>43</v>
      </c>
      <c r="E1246" t="s">
        <v>820</v>
      </c>
      <c r="F1246" t="s">
        <v>2665</v>
      </c>
      <c r="G1246" t="str">
        <f>"201504000485"</f>
        <v>201504000485</v>
      </c>
      <c r="H1246" t="s">
        <v>377</v>
      </c>
      <c r="I1246">
        <v>0</v>
      </c>
      <c r="J1246">
        <v>0</v>
      </c>
      <c r="K1246">
        <v>0</v>
      </c>
      <c r="L1246">
        <v>200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0</v>
      </c>
      <c r="Z1246">
        <v>0</v>
      </c>
      <c r="AA1246">
        <v>0</v>
      </c>
      <c r="AB1246" t="s">
        <v>2662</v>
      </c>
    </row>
    <row r="1247" spans="1:28" x14ac:dyDescent="0.25">
      <c r="H1247" t="s">
        <v>2666</v>
      </c>
    </row>
    <row r="1248" spans="1:28" x14ac:dyDescent="0.25">
      <c r="A1248">
        <v>621</v>
      </c>
      <c r="B1248">
        <v>569</v>
      </c>
      <c r="C1248" t="s">
        <v>2667</v>
      </c>
      <c r="D1248" t="s">
        <v>14</v>
      </c>
      <c r="E1248" t="s">
        <v>417</v>
      </c>
      <c r="F1248" t="s">
        <v>2668</v>
      </c>
      <c r="G1248" t="str">
        <f>"200802005674"</f>
        <v>200802005674</v>
      </c>
      <c r="H1248" t="s">
        <v>1965</v>
      </c>
      <c r="I1248">
        <v>150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>
        <v>0</v>
      </c>
      <c r="Z1248">
        <v>0</v>
      </c>
      <c r="AA1248">
        <v>0</v>
      </c>
      <c r="AB1248" t="s">
        <v>2669</v>
      </c>
    </row>
    <row r="1249" spans="1:28" x14ac:dyDescent="0.25">
      <c r="H1249" t="s">
        <v>2670</v>
      </c>
    </row>
    <row r="1250" spans="1:28" x14ac:dyDescent="0.25">
      <c r="A1250">
        <v>622</v>
      </c>
      <c r="B1250">
        <v>1078</v>
      </c>
      <c r="C1250" t="s">
        <v>2671</v>
      </c>
      <c r="D1250" t="s">
        <v>26</v>
      </c>
      <c r="E1250" t="s">
        <v>155</v>
      </c>
      <c r="F1250" t="s">
        <v>2672</v>
      </c>
      <c r="G1250" t="str">
        <f>"201405000871"</f>
        <v>201405000871</v>
      </c>
      <c r="H1250" t="s">
        <v>2673</v>
      </c>
      <c r="I1250">
        <v>0</v>
      </c>
      <c r="J1250">
        <v>0</v>
      </c>
      <c r="K1250">
        <v>0</v>
      </c>
      <c r="L1250">
        <v>200</v>
      </c>
      <c r="M1250">
        <v>0</v>
      </c>
      <c r="N1250">
        <v>70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0</v>
      </c>
      <c r="Y1250">
        <v>0</v>
      </c>
      <c r="Z1250">
        <v>0</v>
      </c>
      <c r="AA1250">
        <v>0</v>
      </c>
      <c r="AB1250" t="s">
        <v>2674</v>
      </c>
    </row>
    <row r="1251" spans="1:28" x14ac:dyDescent="0.25">
      <c r="H1251" t="s">
        <v>2675</v>
      </c>
    </row>
    <row r="1252" spans="1:28" x14ac:dyDescent="0.25">
      <c r="A1252">
        <v>623</v>
      </c>
      <c r="B1252">
        <v>346</v>
      </c>
      <c r="C1252" t="s">
        <v>2676</v>
      </c>
      <c r="D1252" t="s">
        <v>98</v>
      </c>
      <c r="E1252" t="s">
        <v>51</v>
      </c>
      <c r="F1252" t="s">
        <v>2677</v>
      </c>
      <c r="G1252" t="str">
        <f>"00009660"</f>
        <v>00009660</v>
      </c>
      <c r="H1252" t="s">
        <v>621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70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>
        <v>0</v>
      </c>
      <c r="Z1252">
        <v>0</v>
      </c>
      <c r="AA1252">
        <v>0</v>
      </c>
      <c r="AB1252" t="s">
        <v>2678</v>
      </c>
    </row>
    <row r="1253" spans="1:28" x14ac:dyDescent="0.25">
      <c r="H1253" t="s">
        <v>2679</v>
      </c>
    </row>
    <row r="1254" spans="1:28" x14ac:dyDescent="0.25">
      <c r="A1254">
        <v>624</v>
      </c>
      <c r="B1254">
        <v>1338</v>
      </c>
      <c r="C1254" t="s">
        <v>2680</v>
      </c>
      <c r="D1254" t="s">
        <v>179</v>
      </c>
      <c r="E1254" t="s">
        <v>230</v>
      </c>
      <c r="F1254" t="s">
        <v>2681</v>
      </c>
      <c r="G1254" t="str">
        <f>"201406018569"</f>
        <v>201406018569</v>
      </c>
      <c r="H1254" t="s">
        <v>621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70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>
        <v>0</v>
      </c>
      <c r="Z1254">
        <v>0</v>
      </c>
      <c r="AA1254">
        <v>0</v>
      </c>
      <c r="AB1254" t="s">
        <v>2678</v>
      </c>
    </row>
    <row r="1255" spans="1:28" x14ac:dyDescent="0.25">
      <c r="H1255" t="s">
        <v>2682</v>
      </c>
    </row>
    <row r="1256" spans="1:28" x14ac:dyDescent="0.25">
      <c r="A1256">
        <v>625</v>
      </c>
      <c r="B1256">
        <v>2626</v>
      </c>
      <c r="C1256" t="s">
        <v>2683</v>
      </c>
      <c r="D1256" t="s">
        <v>80</v>
      </c>
      <c r="E1256" t="s">
        <v>14</v>
      </c>
      <c r="F1256" t="s">
        <v>2684</v>
      </c>
      <c r="G1256" t="str">
        <f>"00359709"</f>
        <v>00359709</v>
      </c>
      <c r="H1256" t="s">
        <v>497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>
        <v>0</v>
      </c>
      <c r="Z1256">
        <v>0</v>
      </c>
      <c r="AA1256">
        <v>0</v>
      </c>
      <c r="AB1256" t="s">
        <v>2685</v>
      </c>
    </row>
    <row r="1257" spans="1:28" x14ac:dyDescent="0.25">
      <c r="H1257" t="s">
        <v>2686</v>
      </c>
    </row>
    <row r="1258" spans="1:28" x14ac:dyDescent="0.25">
      <c r="A1258">
        <v>626</v>
      </c>
      <c r="B1258">
        <v>3204</v>
      </c>
      <c r="C1258" t="s">
        <v>2687</v>
      </c>
      <c r="D1258" t="s">
        <v>265</v>
      </c>
      <c r="E1258" t="s">
        <v>98</v>
      </c>
      <c r="F1258" t="s">
        <v>2688</v>
      </c>
      <c r="G1258" t="str">
        <f>"00092798"</f>
        <v>00092798</v>
      </c>
      <c r="H1258" t="s">
        <v>2400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>
        <v>0</v>
      </c>
      <c r="Z1258">
        <v>0</v>
      </c>
      <c r="AA1258">
        <v>0</v>
      </c>
      <c r="AB1258" t="s">
        <v>2689</v>
      </c>
    </row>
    <row r="1259" spans="1:28" x14ac:dyDescent="0.25">
      <c r="H1259">
        <v>1009</v>
      </c>
    </row>
    <row r="1260" spans="1:28" x14ac:dyDescent="0.25">
      <c r="A1260">
        <v>627</v>
      </c>
      <c r="B1260">
        <v>1497</v>
      </c>
      <c r="C1260" t="s">
        <v>2690</v>
      </c>
      <c r="D1260" t="s">
        <v>2691</v>
      </c>
      <c r="E1260" t="s">
        <v>14</v>
      </c>
      <c r="F1260" t="s">
        <v>2692</v>
      </c>
      <c r="G1260" t="str">
        <f>"00316559"</f>
        <v>00316559</v>
      </c>
      <c r="H1260" t="s">
        <v>1355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50</v>
      </c>
      <c r="U1260">
        <v>0</v>
      </c>
      <c r="V1260">
        <v>0</v>
      </c>
      <c r="X1260">
        <v>0</v>
      </c>
      <c r="Y1260">
        <v>0</v>
      </c>
      <c r="Z1260">
        <v>0</v>
      </c>
      <c r="AA1260">
        <v>0</v>
      </c>
      <c r="AB1260" t="s">
        <v>2693</v>
      </c>
    </row>
    <row r="1261" spans="1:28" x14ac:dyDescent="0.25">
      <c r="H1261" t="s">
        <v>2694</v>
      </c>
    </row>
    <row r="1262" spans="1:28" x14ac:dyDescent="0.25">
      <c r="A1262">
        <v>628</v>
      </c>
      <c r="B1262">
        <v>222</v>
      </c>
      <c r="C1262" t="s">
        <v>1595</v>
      </c>
      <c r="D1262" t="s">
        <v>366</v>
      </c>
      <c r="E1262" t="s">
        <v>2695</v>
      </c>
      <c r="F1262" t="s">
        <v>2696</v>
      </c>
      <c r="G1262" t="str">
        <f>"200801002838"</f>
        <v>200801002838</v>
      </c>
      <c r="H1262" t="s">
        <v>2492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70</v>
      </c>
      <c r="O1262">
        <v>0</v>
      </c>
      <c r="P1262">
        <v>30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1</v>
      </c>
      <c r="Y1262">
        <v>0</v>
      </c>
      <c r="Z1262">
        <v>10</v>
      </c>
      <c r="AA1262">
        <v>170</v>
      </c>
      <c r="AB1262" t="s">
        <v>2697</v>
      </c>
    </row>
    <row r="1263" spans="1:28" x14ac:dyDescent="0.25">
      <c r="H1263" t="s">
        <v>2698</v>
      </c>
    </row>
    <row r="1264" spans="1:28" x14ac:dyDescent="0.25">
      <c r="A1264">
        <v>629</v>
      </c>
      <c r="B1264">
        <v>2807</v>
      </c>
      <c r="C1264" t="s">
        <v>2699</v>
      </c>
      <c r="D1264" t="s">
        <v>303</v>
      </c>
      <c r="E1264" t="s">
        <v>15</v>
      </c>
      <c r="F1264" t="s">
        <v>2700</v>
      </c>
      <c r="G1264" t="str">
        <f>"200801005415"</f>
        <v>200801005415</v>
      </c>
      <c r="H1264" t="s">
        <v>1022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30</v>
      </c>
      <c r="S1264">
        <v>0</v>
      </c>
      <c r="T1264">
        <v>0</v>
      </c>
      <c r="U1264">
        <v>0</v>
      </c>
      <c r="V1264">
        <v>0</v>
      </c>
      <c r="X1264">
        <v>0</v>
      </c>
      <c r="Y1264">
        <v>0</v>
      </c>
      <c r="Z1264">
        <v>0</v>
      </c>
      <c r="AA1264">
        <v>0</v>
      </c>
      <c r="AB1264" t="s">
        <v>2701</v>
      </c>
    </row>
    <row r="1265" spans="1:28" x14ac:dyDescent="0.25">
      <c r="H1265" t="s">
        <v>2702</v>
      </c>
    </row>
    <row r="1266" spans="1:28" x14ac:dyDescent="0.25">
      <c r="A1266">
        <v>630</v>
      </c>
      <c r="B1266">
        <v>5121</v>
      </c>
      <c r="C1266" t="s">
        <v>2703</v>
      </c>
      <c r="D1266" t="s">
        <v>2212</v>
      </c>
      <c r="E1266" t="s">
        <v>640</v>
      </c>
      <c r="F1266" t="s">
        <v>2704</v>
      </c>
      <c r="G1266" t="str">
        <f>"201402012192"</f>
        <v>201402012192</v>
      </c>
      <c r="H1266" t="s">
        <v>1105</v>
      </c>
      <c r="I1266">
        <v>0</v>
      </c>
      <c r="J1266">
        <v>0</v>
      </c>
      <c r="K1266">
        <v>0</v>
      </c>
      <c r="L1266">
        <v>200</v>
      </c>
      <c r="M1266">
        <v>0</v>
      </c>
      <c r="N1266">
        <v>70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>
        <v>0</v>
      </c>
      <c r="Z1266">
        <v>0</v>
      </c>
      <c r="AA1266">
        <v>0</v>
      </c>
      <c r="AB1266" t="s">
        <v>2705</v>
      </c>
    </row>
    <row r="1267" spans="1:28" x14ac:dyDescent="0.25">
      <c r="H1267" t="s">
        <v>2706</v>
      </c>
    </row>
    <row r="1268" spans="1:28" x14ac:dyDescent="0.25">
      <c r="A1268">
        <v>631</v>
      </c>
      <c r="B1268">
        <v>3149</v>
      </c>
      <c r="C1268" t="s">
        <v>2707</v>
      </c>
      <c r="D1268" t="s">
        <v>306</v>
      </c>
      <c r="E1268" t="s">
        <v>869</v>
      </c>
      <c r="F1268" t="s">
        <v>2708</v>
      </c>
      <c r="G1268" t="str">
        <f>"201406008221"</f>
        <v>201406008221</v>
      </c>
      <c r="H1268" t="s">
        <v>1669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70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0</v>
      </c>
      <c r="Z1268">
        <v>0</v>
      </c>
      <c r="AA1268">
        <v>0</v>
      </c>
      <c r="AB1268" t="s">
        <v>2709</v>
      </c>
    </row>
    <row r="1269" spans="1:28" x14ac:dyDescent="0.25">
      <c r="H1269">
        <v>1009</v>
      </c>
    </row>
    <row r="1270" spans="1:28" x14ac:dyDescent="0.25">
      <c r="A1270">
        <v>632</v>
      </c>
      <c r="B1270">
        <v>2692</v>
      </c>
      <c r="C1270" t="s">
        <v>2710</v>
      </c>
      <c r="D1270" t="s">
        <v>167</v>
      </c>
      <c r="E1270" t="s">
        <v>247</v>
      </c>
      <c r="F1270" t="s">
        <v>2711</v>
      </c>
      <c r="G1270" t="str">
        <f>"201410008702"</f>
        <v>201410008702</v>
      </c>
      <c r="H1270" t="s">
        <v>2429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30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0</v>
      </c>
      <c r="Z1270">
        <v>0</v>
      </c>
      <c r="AA1270">
        <v>0</v>
      </c>
      <c r="AB1270" t="s">
        <v>2712</v>
      </c>
    </row>
    <row r="1271" spans="1:28" x14ac:dyDescent="0.25">
      <c r="H1271" t="s">
        <v>2713</v>
      </c>
    </row>
    <row r="1272" spans="1:28" x14ac:dyDescent="0.25">
      <c r="A1272">
        <v>633</v>
      </c>
      <c r="B1272">
        <v>2661</v>
      </c>
      <c r="C1272" t="s">
        <v>2714</v>
      </c>
      <c r="D1272" t="s">
        <v>2715</v>
      </c>
      <c r="E1272" t="s">
        <v>51</v>
      </c>
      <c r="F1272" t="s">
        <v>2716</v>
      </c>
      <c r="G1272" t="str">
        <f>"200801006080"</f>
        <v>200801006080</v>
      </c>
      <c r="H1272" t="s">
        <v>2221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>
        <v>0</v>
      </c>
      <c r="Z1272">
        <v>13</v>
      </c>
      <c r="AA1272">
        <v>221</v>
      </c>
      <c r="AB1272" t="s">
        <v>2717</v>
      </c>
    </row>
    <row r="1273" spans="1:28" x14ac:dyDescent="0.25">
      <c r="H1273" t="s">
        <v>2718</v>
      </c>
    </row>
    <row r="1274" spans="1:28" x14ac:dyDescent="0.25">
      <c r="A1274">
        <v>634</v>
      </c>
      <c r="B1274">
        <v>2012</v>
      </c>
      <c r="C1274" t="s">
        <v>2719</v>
      </c>
      <c r="D1274" t="s">
        <v>1180</v>
      </c>
      <c r="E1274" t="s">
        <v>155</v>
      </c>
      <c r="F1274" t="s">
        <v>2720</v>
      </c>
      <c r="G1274" t="str">
        <f>"201409001582"</f>
        <v>201409001582</v>
      </c>
      <c r="H1274" t="s">
        <v>2721</v>
      </c>
      <c r="I1274">
        <v>0</v>
      </c>
      <c r="J1274">
        <v>0</v>
      </c>
      <c r="K1274">
        <v>0</v>
      </c>
      <c r="L1274">
        <v>200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>
        <v>0</v>
      </c>
      <c r="Z1274">
        <v>0</v>
      </c>
      <c r="AA1274">
        <v>0</v>
      </c>
      <c r="AB1274" t="s">
        <v>2722</v>
      </c>
    </row>
    <row r="1275" spans="1:28" x14ac:dyDescent="0.25">
      <c r="H1275" t="s">
        <v>2723</v>
      </c>
    </row>
    <row r="1276" spans="1:28" x14ac:dyDescent="0.25">
      <c r="A1276">
        <v>635</v>
      </c>
      <c r="B1276">
        <v>4722</v>
      </c>
      <c r="C1276" t="s">
        <v>2724</v>
      </c>
      <c r="D1276" t="s">
        <v>20</v>
      </c>
      <c r="E1276" t="s">
        <v>311</v>
      </c>
      <c r="F1276" t="s">
        <v>2725</v>
      </c>
      <c r="G1276" t="str">
        <f>"200712002750"</f>
        <v>200712002750</v>
      </c>
      <c r="H1276" t="s">
        <v>2277</v>
      </c>
      <c r="I1276">
        <v>0</v>
      </c>
      <c r="J1276">
        <v>0</v>
      </c>
      <c r="K1276">
        <v>0</v>
      </c>
      <c r="L1276">
        <v>200</v>
      </c>
      <c r="M1276">
        <v>0</v>
      </c>
      <c r="N1276">
        <v>70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>
        <v>0</v>
      </c>
      <c r="Z1276">
        <v>0</v>
      </c>
      <c r="AA1276">
        <v>0</v>
      </c>
      <c r="AB1276" t="s">
        <v>2726</v>
      </c>
    </row>
    <row r="1277" spans="1:28" x14ac:dyDescent="0.25">
      <c r="H1277" t="s">
        <v>2727</v>
      </c>
    </row>
    <row r="1278" spans="1:28" x14ac:dyDescent="0.25">
      <c r="A1278">
        <v>636</v>
      </c>
      <c r="B1278">
        <v>3120</v>
      </c>
      <c r="C1278" t="s">
        <v>2728</v>
      </c>
      <c r="D1278" t="s">
        <v>2729</v>
      </c>
      <c r="E1278" t="s">
        <v>44</v>
      </c>
      <c r="F1278" t="s">
        <v>2730</v>
      </c>
      <c r="G1278" t="str">
        <f>"00010979"</f>
        <v>00010979</v>
      </c>
      <c r="H1278" t="s">
        <v>573</v>
      </c>
      <c r="I1278">
        <v>0</v>
      </c>
      <c r="J1278">
        <v>0</v>
      </c>
      <c r="K1278">
        <v>0</v>
      </c>
      <c r="L1278">
        <v>200</v>
      </c>
      <c r="M1278">
        <v>0</v>
      </c>
      <c r="N1278">
        <v>50</v>
      </c>
      <c r="O1278">
        <v>0</v>
      </c>
      <c r="P1278">
        <v>30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>
        <v>0</v>
      </c>
      <c r="Z1278">
        <v>0</v>
      </c>
      <c r="AA1278">
        <v>0</v>
      </c>
      <c r="AB1278" t="s">
        <v>2731</v>
      </c>
    </row>
    <row r="1279" spans="1:28" x14ac:dyDescent="0.25">
      <c r="H1279" t="s">
        <v>432</v>
      </c>
    </row>
    <row r="1280" spans="1:28" x14ac:dyDescent="0.25">
      <c r="A1280">
        <v>637</v>
      </c>
      <c r="B1280">
        <v>2271</v>
      </c>
      <c r="C1280" t="s">
        <v>787</v>
      </c>
      <c r="D1280" t="s">
        <v>80</v>
      </c>
      <c r="E1280" t="s">
        <v>39</v>
      </c>
      <c r="F1280" t="s">
        <v>2732</v>
      </c>
      <c r="G1280" t="str">
        <f>"201410012568"</f>
        <v>201410012568</v>
      </c>
      <c r="H1280" t="s">
        <v>2733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70</v>
      </c>
      <c r="O1280">
        <v>0</v>
      </c>
      <c r="P1280">
        <v>30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>
        <v>0</v>
      </c>
      <c r="Z1280">
        <v>10</v>
      </c>
      <c r="AA1280">
        <v>170</v>
      </c>
      <c r="AB1280" t="s">
        <v>2734</v>
      </c>
    </row>
    <row r="1281" spans="1:28" x14ac:dyDescent="0.25">
      <c r="H1281" t="s">
        <v>2735</v>
      </c>
    </row>
    <row r="1282" spans="1:28" x14ac:dyDescent="0.25">
      <c r="A1282">
        <v>638</v>
      </c>
      <c r="B1282">
        <v>1123</v>
      </c>
      <c r="C1282" t="s">
        <v>2736</v>
      </c>
      <c r="D1282" t="s">
        <v>1017</v>
      </c>
      <c r="E1282" t="s">
        <v>14</v>
      </c>
      <c r="F1282" t="s">
        <v>2737</v>
      </c>
      <c r="G1282" t="str">
        <f>"00248246"</f>
        <v>00248246</v>
      </c>
      <c r="H1282" t="s">
        <v>157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70</v>
      </c>
      <c r="O1282">
        <v>30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0</v>
      </c>
      <c r="Y1282">
        <v>0</v>
      </c>
      <c r="Z1282">
        <v>0</v>
      </c>
      <c r="AA1282">
        <v>0</v>
      </c>
      <c r="AB1282" t="s">
        <v>2738</v>
      </c>
    </row>
    <row r="1283" spans="1:28" x14ac:dyDescent="0.25">
      <c r="H1283" t="s">
        <v>421</v>
      </c>
    </row>
    <row r="1284" spans="1:28" x14ac:dyDescent="0.25">
      <c r="A1284">
        <v>639</v>
      </c>
      <c r="B1284">
        <v>4961</v>
      </c>
      <c r="C1284" t="s">
        <v>2739</v>
      </c>
      <c r="D1284" t="s">
        <v>265</v>
      </c>
      <c r="E1284" t="s">
        <v>51</v>
      </c>
      <c r="F1284" t="s">
        <v>2740</v>
      </c>
      <c r="G1284" t="str">
        <f>"00293282"</f>
        <v>00293282</v>
      </c>
      <c r="H1284" t="s">
        <v>990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70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>
        <v>0</v>
      </c>
      <c r="Z1284">
        <v>0</v>
      </c>
      <c r="AA1284">
        <v>0</v>
      </c>
      <c r="AB1284" t="s">
        <v>2741</v>
      </c>
    </row>
    <row r="1285" spans="1:28" x14ac:dyDescent="0.25">
      <c r="H1285">
        <v>1009</v>
      </c>
    </row>
    <row r="1286" spans="1:28" x14ac:dyDescent="0.25">
      <c r="A1286">
        <v>640</v>
      </c>
      <c r="B1286">
        <v>1061</v>
      </c>
      <c r="C1286" t="s">
        <v>2742</v>
      </c>
      <c r="D1286" t="s">
        <v>70</v>
      </c>
      <c r="E1286" t="s">
        <v>1558</v>
      </c>
      <c r="F1286" t="s">
        <v>2743</v>
      </c>
      <c r="G1286" t="str">
        <f>"201406001492"</f>
        <v>201406001492</v>
      </c>
      <c r="H1286" t="s">
        <v>140</v>
      </c>
      <c r="I1286">
        <v>0</v>
      </c>
      <c r="J1286">
        <v>0</v>
      </c>
      <c r="K1286">
        <v>0</v>
      </c>
      <c r="L1286">
        <v>0</v>
      </c>
      <c r="M1286">
        <v>100</v>
      </c>
      <c r="N1286">
        <v>50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>
        <v>0</v>
      </c>
      <c r="Z1286">
        <v>0</v>
      </c>
      <c r="AA1286">
        <v>0</v>
      </c>
      <c r="AB1286" t="s">
        <v>2744</v>
      </c>
    </row>
    <row r="1287" spans="1:28" x14ac:dyDescent="0.25">
      <c r="H1287" t="s">
        <v>2745</v>
      </c>
    </row>
    <row r="1288" spans="1:28" x14ac:dyDescent="0.25">
      <c r="A1288">
        <v>641</v>
      </c>
      <c r="B1288">
        <v>5094</v>
      </c>
      <c r="C1288" t="s">
        <v>2746</v>
      </c>
      <c r="D1288" t="s">
        <v>2537</v>
      </c>
      <c r="E1288" t="s">
        <v>44</v>
      </c>
      <c r="F1288" t="s">
        <v>2747</v>
      </c>
      <c r="G1288" t="str">
        <f>"00153519"</f>
        <v>00153519</v>
      </c>
      <c r="H1288" t="s">
        <v>1535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>
        <v>0</v>
      </c>
      <c r="Z1288">
        <v>0</v>
      </c>
      <c r="AA1288">
        <v>0</v>
      </c>
      <c r="AB1288" t="s">
        <v>2748</v>
      </c>
    </row>
    <row r="1289" spans="1:28" x14ac:dyDescent="0.25">
      <c r="H1289">
        <v>1009</v>
      </c>
    </row>
    <row r="1290" spans="1:28" x14ac:dyDescent="0.25">
      <c r="A1290">
        <v>642</v>
      </c>
      <c r="B1290">
        <v>4960</v>
      </c>
      <c r="C1290" t="s">
        <v>2749</v>
      </c>
      <c r="D1290" t="s">
        <v>519</v>
      </c>
      <c r="E1290" t="s">
        <v>2750</v>
      </c>
      <c r="F1290" t="s">
        <v>2751</v>
      </c>
      <c r="G1290" t="str">
        <f>"201304006118"</f>
        <v>201304006118</v>
      </c>
      <c r="H1290" t="s">
        <v>2752</v>
      </c>
      <c r="I1290">
        <v>0</v>
      </c>
      <c r="J1290">
        <v>0</v>
      </c>
      <c r="K1290">
        <v>0</v>
      </c>
      <c r="L1290">
        <v>200</v>
      </c>
      <c r="M1290">
        <v>0</v>
      </c>
      <c r="N1290">
        <v>70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0</v>
      </c>
      <c r="Y1290">
        <v>0</v>
      </c>
      <c r="Z1290">
        <v>0</v>
      </c>
      <c r="AA1290">
        <v>0</v>
      </c>
      <c r="AB1290" t="s">
        <v>2753</v>
      </c>
    </row>
    <row r="1291" spans="1:28" x14ac:dyDescent="0.25">
      <c r="H1291" t="s">
        <v>2754</v>
      </c>
    </row>
    <row r="1292" spans="1:28" x14ac:dyDescent="0.25">
      <c r="A1292">
        <v>643</v>
      </c>
      <c r="B1292">
        <v>2402</v>
      </c>
      <c r="C1292" t="s">
        <v>2755</v>
      </c>
      <c r="D1292" t="s">
        <v>2756</v>
      </c>
      <c r="E1292" t="s">
        <v>80</v>
      </c>
      <c r="F1292" t="s">
        <v>2757</v>
      </c>
      <c r="G1292" t="str">
        <f>"00339538"</f>
        <v>00339538</v>
      </c>
      <c r="H1292" t="s">
        <v>961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>
        <v>0</v>
      </c>
      <c r="Z1292">
        <v>0</v>
      </c>
      <c r="AA1292">
        <v>0</v>
      </c>
      <c r="AB1292" t="s">
        <v>2758</v>
      </c>
    </row>
    <row r="1293" spans="1:28" x14ac:dyDescent="0.25">
      <c r="H1293">
        <v>1009</v>
      </c>
    </row>
    <row r="1294" spans="1:28" x14ac:dyDescent="0.25">
      <c r="A1294">
        <v>644</v>
      </c>
      <c r="B1294">
        <v>424</v>
      </c>
      <c r="C1294" t="s">
        <v>2759</v>
      </c>
      <c r="D1294" t="s">
        <v>187</v>
      </c>
      <c r="E1294" t="s">
        <v>2249</v>
      </c>
      <c r="F1294" t="s">
        <v>2760</v>
      </c>
      <c r="G1294" t="str">
        <f>"00264630"</f>
        <v>00264630</v>
      </c>
      <c r="H1294">
        <v>792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70</v>
      </c>
      <c r="O1294">
        <v>0</v>
      </c>
      <c r="P1294">
        <v>50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>
        <v>0</v>
      </c>
      <c r="Z1294">
        <v>0</v>
      </c>
      <c r="AA1294">
        <v>0</v>
      </c>
      <c r="AB1294">
        <v>912</v>
      </c>
    </row>
    <row r="1295" spans="1:28" x14ac:dyDescent="0.25">
      <c r="H1295" t="s">
        <v>2761</v>
      </c>
    </row>
    <row r="1296" spans="1:28" x14ac:dyDescent="0.25">
      <c r="A1296">
        <v>645</v>
      </c>
      <c r="B1296">
        <v>3853</v>
      </c>
      <c r="C1296" t="s">
        <v>2762</v>
      </c>
      <c r="D1296" t="s">
        <v>2763</v>
      </c>
      <c r="E1296" t="s">
        <v>14</v>
      </c>
      <c r="F1296" t="s">
        <v>2764</v>
      </c>
      <c r="G1296" t="str">
        <f>"201406013640"</f>
        <v>201406013640</v>
      </c>
      <c r="H1296" t="s">
        <v>2255</v>
      </c>
      <c r="I1296">
        <v>0</v>
      </c>
      <c r="J1296">
        <v>0</v>
      </c>
      <c r="K1296">
        <v>0</v>
      </c>
      <c r="L1296">
        <v>0</v>
      </c>
      <c r="M1296">
        <v>100</v>
      </c>
      <c r="N1296">
        <v>70</v>
      </c>
      <c r="O1296">
        <v>0</v>
      </c>
      <c r="P1296">
        <v>0</v>
      </c>
      <c r="Q1296">
        <v>30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>
        <v>0</v>
      </c>
      <c r="Z1296">
        <v>0</v>
      </c>
      <c r="AA1296">
        <v>0</v>
      </c>
      <c r="AB1296" t="s">
        <v>2765</v>
      </c>
    </row>
    <row r="1297" spans="1:28" x14ac:dyDescent="0.25">
      <c r="H1297" t="s">
        <v>2766</v>
      </c>
    </row>
    <row r="1298" spans="1:28" x14ac:dyDescent="0.25">
      <c r="A1298">
        <v>646</v>
      </c>
      <c r="B1298">
        <v>759</v>
      </c>
      <c r="C1298" t="s">
        <v>2767</v>
      </c>
      <c r="D1298" t="s">
        <v>807</v>
      </c>
      <c r="E1298" t="s">
        <v>14</v>
      </c>
      <c r="F1298" t="s">
        <v>2768</v>
      </c>
      <c r="G1298" t="str">
        <f>"00223061"</f>
        <v>00223061</v>
      </c>
      <c r="H1298" t="s">
        <v>140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30</v>
      </c>
      <c r="O1298">
        <v>30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>
        <v>0</v>
      </c>
      <c r="Z1298">
        <v>5</v>
      </c>
      <c r="AA1298">
        <v>85</v>
      </c>
      <c r="AB1298" t="s">
        <v>2769</v>
      </c>
    </row>
    <row r="1299" spans="1:28" x14ac:dyDescent="0.25">
      <c r="H1299" t="s">
        <v>2770</v>
      </c>
    </row>
    <row r="1300" spans="1:28" x14ac:dyDescent="0.25">
      <c r="A1300">
        <v>647</v>
      </c>
      <c r="B1300">
        <v>2567</v>
      </c>
      <c r="C1300" t="s">
        <v>2771</v>
      </c>
      <c r="D1300" t="s">
        <v>38</v>
      </c>
      <c r="E1300" t="s">
        <v>2772</v>
      </c>
      <c r="F1300" t="s">
        <v>2773</v>
      </c>
      <c r="G1300" t="str">
        <f>"201404000110"</f>
        <v>201404000110</v>
      </c>
      <c r="H1300" t="s">
        <v>2774</v>
      </c>
      <c r="I1300">
        <v>0</v>
      </c>
      <c r="J1300">
        <v>0</v>
      </c>
      <c r="K1300">
        <v>0</v>
      </c>
      <c r="L1300">
        <v>200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>
        <v>0</v>
      </c>
      <c r="Z1300">
        <v>0</v>
      </c>
      <c r="AA1300">
        <v>0</v>
      </c>
      <c r="AB1300" t="s">
        <v>2775</v>
      </c>
    </row>
    <row r="1301" spans="1:28" x14ac:dyDescent="0.25">
      <c r="H1301" t="s">
        <v>2776</v>
      </c>
    </row>
    <row r="1302" spans="1:28" x14ac:dyDescent="0.25">
      <c r="A1302">
        <v>648</v>
      </c>
      <c r="B1302">
        <v>423</v>
      </c>
      <c r="C1302" t="s">
        <v>2777</v>
      </c>
      <c r="D1302" t="s">
        <v>14</v>
      </c>
      <c r="E1302" t="s">
        <v>937</v>
      </c>
      <c r="F1302" t="s">
        <v>2778</v>
      </c>
      <c r="G1302" t="str">
        <f>"00238149"</f>
        <v>00238149</v>
      </c>
      <c r="H1302">
        <v>880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30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0</v>
      </c>
      <c r="Z1302">
        <v>0</v>
      </c>
      <c r="AA1302">
        <v>0</v>
      </c>
      <c r="AB1302">
        <v>910</v>
      </c>
    </row>
    <row r="1303" spans="1:28" x14ac:dyDescent="0.25">
      <c r="H1303" t="s">
        <v>2779</v>
      </c>
    </row>
    <row r="1304" spans="1:28" x14ac:dyDescent="0.25">
      <c r="A1304">
        <v>649</v>
      </c>
      <c r="B1304">
        <v>1416</v>
      </c>
      <c r="C1304" t="s">
        <v>2780</v>
      </c>
      <c r="D1304" t="s">
        <v>1036</v>
      </c>
      <c r="E1304" t="s">
        <v>15</v>
      </c>
      <c r="F1304" t="s">
        <v>2781</v>
      </c>
      <c r="G1304" t="str">
        <f>"00217210"</f>
        <v>00217210</v>
      </c>
      <c r="H1304" t="s">
        <v>1456</v>
      </c>
      <c r="I1304">
        <v>0</v>
      </c>
      <c r="J1304">
        <v>0</v>
      </c>
      <c r="K1304">
        <v>0</v>
      </c>
      <c r="L1304">
        <v>200</v>
      </c>
      <c r="M1304">
        <v>30</v>
      </c>
      <c r="N1304">
        <v>30</v>
      </c>
      <c r="O1304">
        <v>0</v>
      </c>
      <c r="P1304">
        <v>30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0</v>
      </c>
      <c r="Z1304">
        <v>0</v>
      </c>
      <c r="AA1304">
        <v>0</v>
      </c>
      <c r="AB1304" t="s">
        <v>2782</v>
      </c>
    </row>
    <row r="1305" spans="1:28" x14ac:dyDescent="0.25">
      <c r="H1305" t="s">
        <v>2219</v>
      </c>
    </row>
    <row r="1306" spans="1:28" x14ac:dyDescent="0.25">
      <c r="A1306">
        <v>650</v>
      </c>
      <c r="B1306">
        <v>3764</v>
      </c>
      <c r="C1306" t="s">
        <v>2783</v>
      </c>
      <c r="D1306" t="s">
        <v>2081</v>
      </c>
      <c r="E1306" t="s">
        <v>14</v>
      </c>
      <c r="F1306" t="s">
        <v>2784</v>
      </c>
      <c r="G1306" t="str">
        <f>"201304005567"</f>
        <v>201304005567</v>
      </c>
      <c r="H1306" t="s">
        <v>1202</v>
      </c>
      <c r="I1306">
        <v>0</v>
      </c>
      <c r="J1306">
        <v>0</v>
      </c>
      <c r="K1306">
        <v>0</v>
      </c>
      <c r="L1306">
        <v>200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0</v>
      </c>
      <c r="Z1306">
        <v>0</v>
      </c>
      <c r="AA1306">
        <v>0</v>
      </c>
      <c r="AB1306" t="s">
        <v>2785</v>
      </c>
    </row>
    <row r="1307" spans="1:28" x14ac:dyDescent="0.25">
      <c r="H1307">
        <v>1009</v>
      </c>
    </row>
    <row r="1308" spans="1:28" x14ac:dyDescent="0.25">
      <c r="A1308">
        <v>651</v>
      </c>
      <c r="B1308">
        <v>4400</v>
      </c>
      <c r="C1308" t="s">
        <v>2786</v>
      </c>
      <c r="D1308" t="s">
        <v>2787</v>
      </c>
      <c r="E1308" t="s">
        <v>2788</v>
      </c>
      <c r="F1308" t="s">
        <v>2789</v>
      </c>
      <c r="G1308" t="str">
        <f>"00159876"</f>
        <v>00159876</v>
      </c>
      <c r="H1308" t="s">
        <v>568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70</v>
      </c>
      <c r="O1308">
        <v>0</v>
      </c>
      <c r="P1308">
        <v>30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>
        <v>0</v>
      </c>
      <c r="Z1308">
        <v>0</v>
      </c>
      <c r="AA1308">
        <v>0</v>
      </c>
      <c r="AB1308" t="s">
        <v>2790</v>
      </c>
    </row>
    <row r="1309" spans="1:28" x14ac:dyDescent="0.25">
      <c r="H1309" t="s">
        <v>2791</v>
      </c>
    </row>
    <row r="1310" spans="1:28" x14ac:dyDescent="0.25">
      <c r="A1310">
        <v>652</v>
      </c>
      <c r="B1310">
        <v>1223</v>
      </c>
      <c r="C1310" t="s">
        <v>2792</v>
      </c>
      <c r="D1310" t="s">
        <v>762</v>
      </c>
      <c r="E1310" t="s">
        <v>44</v>
      </c>
      <c r="F1310" t="s">
        <v>2793</v>
      </c>
      <c r="G1310" t="str">
        <f>"00218917"</f>
        <v>00218917</v>
      </c>
      <c r="H1310" t="s">
        <v>28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>
        <v>0</v>
      </c>
      <c r="Z1310">
        <v>0</v>
      </c>
      <c r="AA1310">
        <v>0</v>
      </c>
      <c r="AB1310" t="s">
        <v>2794</v>
      </c>
    </row>
    <row r="1311" spans="1:28" x14ac:dyDescent="0.25">
      <c r="H1311" t="s">
        <v>2795</v>
      </c>
    </row>
    <row r="1312" spans="1:28" x14ac:dyDescent="0.25">
      <c r="A1312">
        <v>653</v>
      </c>
      <c r="B1312">
        <v>4527</v>
      </c>
      <c r="C1312" t="s">
        <v>2796</v>
      </c>
      <c r="D1312" t="s">
        <v>2797</v>
      </c>
      <c r="E1312" t="s">
        <v>2798</v>
      </c>
      <c r="F1312" t="s">
        <v>2799</v>
      </c>
      <c r="G1312" t="str">
        <f>"200806000183"</f>
        <v>200806000183</v>
      </c>
      <c r="H1312">
        <v>627</v>
      </c>
      <c r="I1312">
        <v>0</v>
      </c>
      <c r="J1312">
        <v>0</v>
      </c>
      <c r="K1312">
        <v>0</v>
      </c>
      <c r="L1312">
        <v>200</v>
      </c>
      <c r="M1312">
        <v>0</v>
      </c>
      <c r="N1312">
        <v>50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30</v>
      </c>
      <c r="U1312">
        <v>0</v>
      </c>
      <c r="V1312">
        <v>0</v>
      </c>
      <c r="X1312">
        <v>0</v>
      </c>
      <c r="Y1312">
        <v>0</v>
      </c>
      <c r="Z1312">
        <v>0</v>
      </c>
      <c r="AA1312">
        <v>0</v>
      </c>
      <c r="AB1312">
        <v>907</v>
      </c>
    </row>
    <row r="1313" spans="1:28" x14ac:dyDescent="0.25">
      <c r="H1313" t="s">
        <v>575</v>
      </c>
    </row>
    <row r="1314" spans="1:28" x14ac:dyDescent="0.25">
      <c r="A1314">
        <v>654</v>
      </c>
      <c r="B1314">
        <v>4212</v>
      </c>
      <c r="C1314" t="s">
        <v>2800</v>
      </c>
      <c r="D1314" t="s">
        <v>44</v>
      </c>
      <c r="E1314" t="s">
        <v>14</v>
      </c>
      <c r="F1314" t="s">
        <v>2801</v>
      </c>
      <c r="G1314" t="str">
        <f>"00014339"</f>
        <v>00014339</v>
      </c>
      <c r="H1314" t="s">
        <v>972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70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0</v>
      </c>
      <c r="Y1314">
        <v>0</v>
      </c>
      <c r="Z1314">
        <v>7</v>
      </c>
      <c r="AA1314">
        <v>119</v>
      </c>
      <c r="AB1314" t="s">
        <v>2802</v>
      </c>
    </row>
    <row r="1315" spans="1:28" x14ac:dyDescent="0.25">
      <c r="H1315" t="s">
        <v>739</v>
      </c>
    </row>
    <row r="1316" spans="1:28" x14ac:dyDescent="0.25">
      <c r="A1316">
        <v>655</v>
      </c>
      <c r="B1316">
        <v>1767</v>
      </c>
      <c r="C1316" t="s">
        <v>2803</v>
      </c>
      <c r="D1316" t="s">
        <v>51</v>
      </c>
      <c r="E1316" t="s">
        <v>14</v>
      </c>
      <c r="F1316" t="s">
        <v>2804</v>
      </c>
      <c r="G1316" t="str">
        <f>"201506002590"</f>
        <v>201506002590</v>
      </c>
      <c r="H1316" t="s">
        <v>2805</v>
      </c>
      <c r="I1316">
        <v>0</v>
      </c>
      <c r="J1316">
        <v>0</v>
      </c>
      <c r="K1316">
        <v>0</v>
      </c>
      <c r="L1316">
        <v>200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>
        <v>0</v>
      </c>
      <c r="Z1316">
        <v>0</v>
      </c>
      <c r="AA1316">
        <v>0</v>
      </c>
      <c r="AB1316" t="s">
        <v>2806</v>
      </c>
    </row>
    <row r="1317" spans="1:28" x14ac:dyDescent="0.25">
      <c r="H1317" t="s">
        <v>2807</v>
      </c>
    </row>
    <row r="1318" spans="1:28" x14ac:dyDescent="0.25">
      <c r="A1318">
        <v>656</v>
      </c>
      <c r="B1318">
        <v>3211</v>
      </c>
      <c r="C1318" t="s">
        <v>2808</v>
      </c>
      <c r="D1318" t="s">
        <v>187</v>
      </c>
      <c r="E1318" t="s">
        <v>2578</v>
      </c>
      <c r="F1318" t="s">
        <v>2809</v>
      </c>
      <c r="G1318" t="str">
        <f>"00342212"</f>
        <v>00342212</v>
      </c>
      <c r="H1318" t="s">
        <v>87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0</v>
      </c>
      <c r="P1318">
        <v>0</v>
      </c>
      <c r="Q1318">
        <v>30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>
        <v>0</v>
      </c>
      <c r="Z1318">
        <v>0</v>
      </c>
      <c r="AA1318">
        <v>0</v>
      </c>
      <c r="AB1318" t="s">
        <v>2810</v>
      </c>
    </row>
    <row r="1319" spans="1:28" x14ac:dyDescent="0.25">
      <c r="H1319" t="s">
        <v>2811</v>
      </c>
    </row>
    <row r="1320" spans="1:28" x14ac:dyDescent="0.25">
      <c r="A1320">
        <v>657</v>
      </c>
      <c r="B1320">
        <v>1168</v>
      </c>
      <c r="C1320" t="s">
        <v>2812</v>
      </c>
      <c r="D1320" t="s">
        <v>26</v>
      </c>
      <c r="E1320" t="s">
        <v>39</v>
      </c>
      <c r="F1320" t="s">
        <v>2813</v>
      </c>
      <c r="G1320" t="str">
        <f>"00179915"</f>
        <v>00179915</v>
      </c>
      <c r="H1320" t="s">
        <v>87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70</v>
      </c>
      <c r="O1320">
        <v>30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>
        <v>0</v>
      </c>
      <c r="Z1320">
        <v>0</v>
      </c>
      <c r="AA1320">
        <v>0</v>
      </c>
      <c r="AB1320" t="s">
        <v>2810</v>
      </c>
    </row>
    <row r="1321" spans="1:28" x14ac:dyDescent="0.25">
      <c r="H1321" t="s">
        <v>739</v>
      </c>
    </row>
    <row r="1322" spans="1:28" x14ac:dyDescent="0.25">
      <c r="A1322">
        <v>658</v>
      </c>
      <c r="B1322">
        <v>2161</v>
      </c>
      <c r="C1322" t="s">
        <v>2814</v>
      </c>
      <c r="D1322" t="s">
        <v>138</v>
      </c>
      <c r="E1322" t="s">
        <v>311</v>
      </c>
      <c r="F1322" t="s">
        <v>2815</v>
      </c>
      <c r="G1322" t="str">
        <f>"201406004652"</f>
        <v>201406004652</v>
      </c>
      <c r="H1322" t="s">
        <v>696</v>
      </c>
      <c r="I1322">
        <v>0</v>
      </c>
      <c r="J1322">
        <v>0</v>
      </c>
      <c r="K1322">
        <v>0</v>
      </c>
      <c r="L1322">
        <v>0</v>
      </c>
      <c r="M1322">
        <v>100</v>
      </c>
      <c r="N1322">
        <v>30</v>
      </c>
      <c r="O1322">
        <v>0</v>
      </c>
      <c r="P1322">
        <v>30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>
        <v>0</v>
      </c>
      <c r="Z1322">
        <v>0</v>
      </c>
      <c r="AA1322">
        <v>0</v>
      </c>
      <c r="AB1322" t="s">
        <v>2816</v>
      </c>
    </row>
    <row r="1323" spans="1:28" x14ac:dyDescent="0.25">
      <c r="H1323" t="s">
        <v>2817</v>
      </c>
    </row>
    <row r="1324" spans="1:28" x14ac:dyDescent="0.25">
      <c r="A1324">
        <v>659</v>
      </c>
      <c r="B1324">
        <v>2818</v>
      </c>
      <c r="C1324" t="s">
        <v>2818</v>
      </c>
      <c r="D1324" t="s">
        <v>50</v>
      </c>
      <c r="E1324" t="s">
        <v>14</v>
      </c>
      <c r="F1324" t="s">
        <v>2819</v>
      </c>
      <c r="G1324" t="str">
        <f>"00096272"</f>
        <v>00096272</v>
      </c>
      <c r="H1324" t="s">
        <v>2820</v>
      </c>
      <c r="I1324">
        <v>0</v>
      </c>
      <c r="J1324">
        <v>0</v>
      </c>
      <c r="K1324">
        <v>0</v>
      </c>
      <c r="L1324">
        <v>200</v>
      </c>
      <c r="M1324">
        <v>0</v>
      </c>
      <c r="N1324">
        <v>70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1</v>
      </c>
      <c r="Y1324">
        <v>0</v>
      </c>
      <c r="Z1324">
        <v>0</v>
      </c>
      <c r="AA1324">
        <v>0</v>
      </c>
      <c r="AB1324" t="s">
        <v>2816</v>
      </c>
    </row>
    <row r="1325" spans="1:28" x14ac:dyDescent="0.25">
      <c r="H1325">
        <v>1009</v>
      </c>
    </row>
    <row r="1326" spans="1:28" x14ac:dyDescent="0.25">
      <c r="A1326">
        <v>660</v>
      </c>
      <c r="B1326">
        <v>3468</v>
      </c>
      <c r="C1326" t="s">
        <v>2821</v>
      </c>
      <c r="D1326" t="s">
        <v>452</v>
      </c>
      <c r="E1326" t="s">
        <v>1025</v>
      </c>
      <c r="F1326" t="s">
        <v>2822</v>
      </c>
      <c r="G1326" t="str">
        <f>"201402009542"</f>
        <v>201402009542</v>
      </c>
      <c r="H1326" t="s">
        <v>1291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70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>
        <v>0</v>
      </c>
      <c r="Z1326">
        <v>0</v>
      </c>
      <c r="AA1326">
        <v>0</v>
      </c>
      <c r="AB1326" t="s">
        <v>2823</v>
      </c>
    </row>
    <row r="1327" spans="1:28" x14ac:dyDescent="0.25">
      <c r="H1327" t="s">
        <v>421</v>
      </c>
    </row>
    <row r="1328" spans="1:28" x14ac:dyDescent="0.25">
      <c r="A1328">
        <v>661</v>
      </c>
      <c r="B1328">
        <v>4901</v>
      </c>
      <c r="C1328" t="s">
        <v>2824</v>
      </c>
      <c r="D1328" t="s">
        <v>202</v>
      </c>
      <c r="E1328" t="s">
        <v>38</v>
      </c>
      <c r="F1328" t="s">
        <v>2825</v>
      </c>
      <c r="G1328" t="str">
        <f>"201406000236"</f>
        <v>201406000236</v>
      </c>
      <c r="H1328" t="s">
        <v>226</v>
      </c>
      <c r="I1328">
        <v>0</v>
      </c>
      <c r="J1328">
        <v>0</v>
      </c>
      <c r="K1328">
        <v>0</v>
      </c>
      <c r="L1328">
        <v>0</v>
      </c>
      <c r="M1328">
        <v>100</v>
      </c>
      <c r="N1328">
        <v>70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>
        <v>0</v>
      </c>
      <c r="Z1328">
        <v>0</v>
      </c>
      <c r="AA1328">
        <v>0</v>
      </c>
      <c r="AB1328" t="s">
        <v>2826</v>
      </c>
    </row>
    <row r="1329" spans="1:28" x14ac:dyDescent="0.25">
      <c r="H1329" t="s">
        <v>739</v>
      </c>
    </row>
    <row r="1330" spans="1:28" x14ac:dyDescent="0.25">
      <c r="A1330">
        <v>662</v>
      </c>
      <c r="B1330">
        <v>1640</v>
      </c>
      <c r="C1330" t="s">
        <v>2827</v>
      </c>
      <c r="D1330" t="s">
        <v>26</v>
      </c>
      <c r="E1330" t="s">
        <v>1159</v>
      </c>
      <c r="F1330" t="s">
        <v>2828</v>
      </c>
      <c r="G1330" t="str">
        <f>"00257249"</f>
        <v>00257249</v>
      </c>
      <c r="H1330" t="s">
        <v>299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0</v>
      </c>
      <c r="Y1330">
        <v>0</v>
      </c>
      <c r="Z1330">
        <v>0</v>
      </c>
      <c r="AA1330">
        <v>0</v>
      </c>
      <c r="AB1330" t="s">
        <v>2829</v>
      </c>
    </row>
    <row r="1331" spans="1:28" x14ac:dyDescent="0.25">
      <c r="H1331">
        <v>1009</v>
      </c>
    </row>
    <row r="1332" spans="1:28" x14ac:dyDescent="0.25">
      <c r="A1332">
        <v>663</v>
      </c>
      <c r="B1332">
        <v>1591</v>
      </c>
      <c r="C1332" t="s">
        <v>2830</v>
      </c>
      <c r="D1332" t="s">
        <v>26</v>
      </c>
      <c r="E1332" t="s">
        <v>762</v>
      </c>
      <c r="F1332" t="s">
        <v>2831</v>
      </c>
      <c r="G1332" t="str">
        <f>"201506002116"</f>
        <v>201506002116</v>
      </c>
      <c r="H1332" t="s">
        <v>1697</v>
      </c>
      <c r="I1332">
        <v>0</v>
      </c>
      <c r="J1332">
        <v>0</v>
      </c>
      <c r="K1332">
        <v>0</v>
      </c>
      <c r="L1332">
        <v>0</v>
      </c>
      <c r="M1332">
        <v>100</v>
      </c>
      <c r="N1332">
        <v>30</v>
      </c>
      <c r="O1332">
        <v>70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0</v>
      </c>
      <c r="Y1332">
        <v>0</v>
      </c>
      <c r="Z1332">
        <v>0</v>
      </c>
      <c r="AA1332">
        <v>0</v>
      </c>
      <c r="AB1332" t="s">
        <v>2832</v>
      </c>
    </row>
    <row r="1333" spans="1:28" x14ac:dyDescent="0.25">
      <c r="H1333" t="s">
        <v>2833</v>
      </c>
    </row>
    <row r="1334" spans="1:28" x14ac:dyDescent="0.25">
      <c r="A1334">
        <v>664</v>
      </c>
      <c r="B1334">
        <v>1319</v>
      </c>
      <c r="C1334" t="s">
        <v>2834</v>
      </c>
      <c r="D1334" t="s">
        <v>930</v>
      </c>
      <c r="E1334" t="s">
        <v>2835</v>
      </c>
      <c r="F1334" t="s">
        <v>2836</v>
      </c>
      <c r="G1334" t="str">
        <f>"00011087"</f>
        <v>00011087</v>
      </c>
      <c r="H1334" t="s">
        <v>2837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30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0</v>
      </c>
      <c r="Y1334">
        <v>0</v>
      </c>
      <c r="Z1334">
        <v>0</v>
      </c>
      <c r="AA1334">
        <v>0</v>
      </c>
      <c r="AB1334" t="s">
        <v>2838</v>
      </c>
    </row>
    <row r="1335" spans="1:28" x14ac:dyDescent="0.25">
      <c r="H1335" t="s">
        <v>2839</v>
      </c>
    </row>
    <row r="1336" spans="1:28" x14ac:dyDescent="0.25">
      <c r="A1336">
        <v>665</v>
      </c>
      <c r="B1336">
        <v>2451</v>
      </c>
      <c r="C1336" t="s">
        <v>2840</v>
      </c>
      <c r="D1336" t="s">
        <v>187</v>
      </c>
      <c r="E1336" t="s">
        <v>311</v>
      </c>
      <c r="F1336" t="s">
        <v>2841</v>
      </c>
      <c r="G1336" t="str">
        <f>"201406008369"</f>
        <v>201406008369</v>
      </c>
      <c r="H1336" t="s">
        <v>1835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70</v>
      </c>
      <c r="O1336">
        <v>70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>
        <v>0</v>
      </c>
      <c r="Z1336">
        <v>0</v>
      </c>
      <c r="AA1336">
        <v>0</v>
      </c>
      <c r="AB1336" t="s">
        <v>2838</v>
      </c>
    </row>
    <row r="1337" spans="1:28" x14ac:dyDescent="0.25">
      <c r="H1337" t="s">
        <v>2842</v>
      </c>
    </row>
    <row r="1338" spans="1:28" x14ac:dyDescent="0.25">
      <c r="A1338">
        <v>666</v>
      </c>
      <c r="B1338">
        <v>644</v>
      </c>
      <c r="C1338" t="s">
        <v>2843</v>
      </c>
      <c r="D1338" t="s">
        <v>187</v>
      </c>
      <c r="E1338" t="s">
        <v>417</v>
      </c>
      <c r="F1338" t="s">
        <v>2844</v>
      </c>
      <c r="G1338" t="str">
        <f>"201305000081"</f>
        <v>201305000081</v>
      </c>
      <c r="H1338">
        <v>770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50</v>
      </c>
      <c r="O1338">
        <v>30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50</v>
      </c>
      <c r="V1338">
        <v>0</v>
      </c>
      <c r="X1338">
        <v>0</v>
      </c>
      <c r="Y1338">
        <v>0</v>
      </c>
      <c r="Z1338">
        <v>0</v>
      </c>
      <c r="AA1338">
        <v>0</v>
      </c>
      <c r="AB1338">
        <v>900</v>
      </c>
    </row>
    <row r="1339" spans="1:28" x14ac:dyDescent="0.25">
      <c r="H1339" t="s">
        <v>2845</v>
      </c>
    </row>
    <row r="1340" spans="1:28" x14ac:dyDescent="0.25">
      <c r="A1340">
        <v>667</v>
      </c>
      <c r="B1340">
        <v>112</v>
      </c>
      <c r="C1340" t="s">
        <v>2846</v>
      </c>
      <c r="D1340" t="s">
        <v>2847</v>
      </c>
      <c r="E1340" t="s">
        <v>109</v>
      </c>
      <c r="F1340" t="s">
        <v>2848</v>
      </c>
      <c r="G1340" t="str">
        <f>"00237344"</f>
        <v>00237344</v>
      </c>
      <c r="H1340" t="s">
        <v>2849</v>
      </c>
      <c r="I1340">
        <v>0</v>
      </c>
      <c r="J1340">
        <v>0</v>
      </c>
      <c r="K1340">
        <v>0</v>
      </c>
      <c r="L1340">
        <v>200</v>
      </c>
      <c r="M1340">
        <v>0</v>
      </c>
      <c r="N1340">
        <v>30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>
        <v>0</v>
      </c>
      <c r="Z1340">
        <v>0</v>
      </c>
      <c r="AA1340">
        <v>0</v>
      </c>
      <c r="AB1340" t="s">
        <v>2850</v>
      </c>
    </row>
    <row r="1341" spans="1:28" x14ac:dyDescent="0.25">
      <c r="H1341" t="s">
        <v>2219</v>
      </c>
    </row>
    <row r="1342" spans="1:28" x14ac:dyDescent="0.25">
      <c r="A1342">
        <v>668</v>
      </c>
      <c r="B1342">
        <v>1262</v>
      </c>
      <c r="C1342" t="s">
        <v>2851</v>
      </c>
      <c r="D1342" t="s">
        <v>2852</v>
      </c>
      <c r="E1342" t="s">
        <v>14</v>
      </c>
      <c r="F1342" t="s">
        <v>2853</v>
      </c>
      <c r="G1342" t="str">
        <f>"00226290"</f>
        <v>00226290</v>
      </c>
      <c r="H1342" t="s">
        <v>1331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70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0</v>
      </c>
      <c r="Z1342">
        <v>0</v>
      </c>
      <c r="AA1342">
        <v>0</v>
      </c>
      <c r="AB1342" t="s">
        <v>2854</v>
      </c>
    </row>
    <row r="1343" spans="1:28" x14ac:dyDescent="0.25">
      <c r="H1343">
        <v>1009</v>
      </c>
    </row>
    <row r="1344" spans="1:28" x14ac:dyDescent="0.25">
      <c r="A1344">
        <v>669</v>
      </c>
      <c r="B1344">
        <v>3426</v>
      </c>
      <c r="C1344" t="s">
        <v>2855</v>
      </c>
      <c r="D1344" t="s">
        <v>98</v>
      </c>
      <c r="E1344" t="s">
        <v>80</v>
      </c>
      <c r="F1344" t="s">
        <v>2856</v>
      </c>
      <c r="G1344" t="str">
        <f>"201402008360"</f>
        <v>201402008360</v>
      </c>
      <c r="H1344" t="s">
        <v>2857</v>
      </c>
      <c r="I1344">
        <v>0</v>
      </c>
      <c r="J1344">
        <v>0</v>
      </c>
      <c r="K1344">
        <v>0</v>
      </c>
      <c r="L1344">
        <v>0</v>
      </c>
      <c r="M1344">
        <v>130</v>
      </c>
      <c r="N1344">
        <v>70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0</v>
      </c>
      <c r="Z1344">
        <v>0</v>
      </c>
      <c r="AA1344">
        <v>0</v>
      </c>
      <c r="AB1344" t="s">
        <v>2858</v>
      </c>
    </row>
    <row r="1345" spans="1:28" x14ac:dyDescent="0.25">
      <c r="H1345" t="s">
        <v>2859</v>
      </c>
    </row>
    <row r="1346" spans="1:28" x14ac:dyDescent="0.25">
      <c r="A1346">
        <v>670</v>
      </c>
      <c r="B1346">
        <v>5191</v>
      </c>
      <c r="C1346" t="s">
        <v>2860</v>
      </c>
      <c r="D1346" t="s">
        <v>15</v>
      </c>
      <c r="E1346" t="s">
        <v>50</v>
      </c>
      <c r="F1346" t="s">
        <v>2861</v>
      </c>
      <c r="G1346" t="str">
        <f>"00369030"</f>
        <v>00369030</v>
      </c>
      <c r="H1346" t="s">
        <v>119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50</v>
      </c>
      <c r="O1346">
        <v>0</v>
      </c>
      <c r="P1346">
        <v>30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>
        <v>0</v>
      </c>
      <c r="Z1346">
        <v>0</v>
      </c>
      <c r="AA1346">
        <v>0</v>
      </c>
      <c r="AB1346" t="s">
        <v>2862</v>
      </c>
    </row>
    <row r="1347" spans="1:28" x14ac:dyDescent="0.25">
      <c r="H1347" t="s">
        <v>2863</v>
      </c>
    </row>
    <row r="1348" spans="1:28" x14ac:dyDescent="0.25">
      <c r="A1348">
        <v>671</v>
      </c>
      <c r="B1348">
        <v>2505</v>
      </c>
      <c r="C1348" t="s">
        <v>2746</v>
      </c>
      <c r="D1348" t="s">
        <v>138</v>
      </c>
      <c r="E1348" t="s">
        <v>2864</v>
      </c>
      <c r="F1348" t="s">
        <v>2865</v>
      </c>
      <c r="G1348" t="str">
        <f>"201406000758"</f>
        <v>201406000758</v>
      </c>
      <c r="H1348" t="s">
        <v>1592</v>
      </c>
      <c r="I1348">
        <v>0</v>
      </c>
      <c r="J1348">
        <v>0</v>
      </c>
      <c r="K1348">
        <v>0</v>
      </c>
      <c r="L1348">
        <v>0</v>
      </c>
      <c r="M1348">
        <v>100</v>
      </c>
      <c r="N1348">
        <v>70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>
        <v>0</v>
      </c>
      <c r="Z1348">
        <v>0</v>
      </c>
      <c r="AA1348">
        <v>0</v>
      </c>
      <c r="AB1348" t="s">
        <v>2866</v>
      </c>
    </row>
    <row r="1349" spans="1:28" x14ac:dyDescent="0.25">
      <c r="H1349" t="s">
        <v>2867</v>
      </c>
    </row>
    <row r="1350" spans="1:28" x14ac:dyDescent="0.25">
      <c r="A1350">
        <v>672</v>
      </c>
      <c r="B1350">
        <v>315</v>
      </c>
      <c r="C1350" t="s">
        <v>2868</v>
      </c>
      <c r="D1350" t="s">
        <v>955</v>
      </c>
      <c r="E1350" t="s">
        <v>32</v>
      </c>
      <c r="F1350" t="s">
        <v>2869</v>
      </c>
      <c r="G1350" t="str">
        <f>"201406018645"</f>
        <v>201406018645</v>
      </c>
      <c r="H1350" t="s">
        <v>2375</v>
      </c>
      <c r="I1350">
        <v>0</v>
      </c>
      <c r="J1350">
        <v>0</v>
      </c>
      <c r="K1350">
        <v>0</v>
      </c>
      <c r="L1350">
        <v>0</v>
      </c>
      <c r="M1350">
        <v>100</v>
      </c>
      <c r="N1350">
        <v>70</v>
      </c>
      <c r="O1350">
        <v>30</v>
      </c>
      <c r="P1350">
        <v>0</v>
      </c>
      <c r="Q1350">
        <v>0</v>
      </c>
      <c r="R1350">
        <v>30</v>
      </c>
      <c r="S1350">
        <v>0</v>
      </c>
      <c r="T1350">
        <v>0</v>
      </c>
      <c r="U1350">
        <v>0</v>
      </c>
      <c r="V1350">
        <v>0</v>
      </c>
      <c r="X1350">
        <v>1</v>
      </c>
      <c r="Y1350">
        <v>0</v>
      </c>
      <c r="Z1350">
        <v>0</v>
      </c>
      <c r="AA1350">
        <v>0</v>
      </c>
      <c r="AB1350" t="s">
        <v>2870</v>
      </c>
    </row>
    <row r="1351" spans="1:28" x14ac:dyDescent="0.25">
      <c r="H1351" t="s">
        <v>2871</v>
      </c>
    </row>
    <row r="1352" spans="1:28" x14ac:dyDescent="0.25">
      <c r="A1352">
        <v>673</v>
      </c>
      <c r="B1352">
        <v>5345</v>
      </c>
      <c r="C1352" t="s">
        <v>2872</v>
      </c>
      <c r="D1352" t="s">
        <v>2290</v>
      </c>
      <c r="E1352" t="s">
        <v>155</v>
      </c>
      <c r="F1352" t="s">
        <v>2873</v>
      </c>
      <c r="G1352" t="str">
        <f>"200802000035"</f>
        <v>200802000035</v>
      </c>
      <c r="H1352" t="s">
        <v>1213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70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1</v>
      </c>
      <c r="Y1352">
        <v>0</v>
      </c>
      <c r="Z1352">
        <v>3</v>
      </c>
      <c r="AA1352">
        <v>51</v>
      </c>
      <c r="AB1352" t="s">
        <v>2281</v>
      </c>
    </row>
    <row r="1353" spans="1:28" x14ac:dyDescent="0.25">
      <c r="H1353" t="s">
        <v>2874</v>
      </c>
    </row>
    <row r="1354" spans="1:28" x14ac:dyDescent="0.25">
      <c r="A1354">
        <v>674</v>
      </c>
      <c r="B1354">
        <v>313</v>
      </c>
      <c r="C1354" t="s">
        <v>2875</v>
      </c>
      <c r="D1354" t="s">
        <v>458</v>
      </c>
      <c r="E1354" t="s">
        <v>14</v>
      </c>
      <c r="F1354" t="s">
        <v>2876</v>
      </c>
      <c r="G1354" t="str">
        <f>"201412000720"</f>
        <v>201412000720</v>
      </c>
      <c r="H1354">
        <v>726</v>
      </c>
      <c r="I1354">
        <v>0</v>
      </c>
      <c r="J1354">
        <v>0</v>
      </c>
      <c r="K1354">
        <v>0</v>
      </c>
      <c r="L1354">
        <v>0</v>
      </c>
      <c r="M1354">
        <v>100</v>
      </c>
      <c r="N1354">
        <v>70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>
        <v>0</v>
      </c>
      <c r="Z1354">
        <v>0</v>
      </c>
      <c r="AA1354">
        <v>0</v>
      </c>
      <c r="AB1354">
        <v>896</v>
      </c>
    </row>
    <row r="1355" spans="1:28" x14ac:dyDescent="0.25">
      <c r="H1355" t="s">
        <v>142</v>
      </c>
    </row>
    <row r="1356" spans="1:28" x14ac:dyDescent="0.25">
      <c r="A1356">
        <v>675</v>
      </c>
      <c r="B1356">
        <v>1702</v>
      </c>
      <c r="C1356" t="s">
        <v>2877</v>
      </c>
      <c r="D1356" t="s">
        <v>2878</v>
      </c>
      <c r="E1356" t="s">
        <v>44</v>
      </c>
      <c r="F1356" t="s">
        <v>2879</v>
      </c>
      <c r="G1356" t="str">
        <f>"201411001971"</f>
        <v>201411001971</v>
      </c>
      <c r="H1356" t="s">
        <v>100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50</v>
      </c>
      <c r="O1356">
        <v>0</v>
      </c>
      <c r="P1356">
        <v>50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0</v>
      </c>
      <c r="Y1356">
        <v>0</v>
      </c>
      <c r="Z1356">
        <v>0</v>
      </c>
      <c r="AA1356">
        <v>0</v>
      </c>
      <c r="AB1356" t="s">
        <v>2880</v>
      </c>
    </row>
    <row r="1357" spans="1:28" x14ac:dyDescent="0.25">
      <c r="H1357" t="s">
        <v>2881</v>
      </c>
    </row>
    <row r="1358" spans="1:28" x14ac:dyDescent="0.25">
      <c r="A1358">
        <v>676</v>
      </c>
      <c r="B1358">
        <v>2608</v>
      </c>
      <c r="C1358" t="s">
        <v>2882</v>
      </c>
      <c r="D1358" t="s">
        <v>306</v>
      </c>
      <c r="E1358" t="s">
        <v>50</v>
      </c>
      <c r="F1358" t="s">
        <v>2883</v>
      </c>
      <c r="G1358" t="str">
        <f>"00236790"</f>
        <v>00236790</v>
      </c>
      <c r="H1358" t="s">
        <v>100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70</v>
      </c>
      <c r="O1358">
        <v>0</v>
      </c>
      <c r="P1358">
        <v>30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>
        <v>0</v>
      </c>
      <c r="Z1358">
        <v>0</v>
      </c>
      <c r="AA1358">
        <v>0</v>
      </c>
      <c r="AB1358" t="s">
        <v>2880</v>
      </c>
    </row>
    <row r="1359" spans="1:28" x14ac:dyDescent="0.25">
      <c r="H1359" t="s">
        <v>2884</v>
      </c>
    </row>
    <row r="1360" spans="1:28" x14ac:dyDescent="0.25">
      <c r="A1360">
        <v>677</v>
      </c>
      <c r="B1360">
        <v>482</v>
      </c>
      <c r="C1360" t="s">
        <v>2885</v>
      </c>
      <c r="D1360" t="s">
        <v>14</v>
      </c>
      <c r="E1360" t="s">
        <v>155</v>
      </c>
      <c r="F1360" t="s">
        <v>2886</v>
      </c>
      <c r="G1360" t="str">
        <f>"00283704"</f>
        <v>00283704</v>
      </c>
      <c r="H1360">
        <v>825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70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>
        <v>0</v>
      </c>
      <c r="Z1360">
        <v>0</v>
      </c>
      <c r="AA1360">
        <v>0</v>
      </c>
      <c r="AB1360">
        <v>895</v>
      </c>
    </row>
    <row r="1361" spans="1:28" x14ac:dyDescent="0.25">
      <c r="H1361" t="s">
        <v>2887</v>
      </c>
    </row>
    <row r="1362" spans="1:28" x14ac:dyDescent="0.25">
      <c r="A1362">
        <v>678</v>
      </c>
      <c r="B1362">
        <v>5219</v>
      </c>
      <c r="C1362" t="s">
        <v>1567</v>
      </c>
      <c r="D1362" t="s">
        <v>2888</v>
      </c>
      <c r="E1362" t="s">
        <v>20</v>
      </c>
      <c r="F1362" t="s">
        <v>2889</v>
      </c>
      <c r="G1362" t="str">
        <f>"201405000439"</f>
        <v>201405000439</v>
      </c>
      <c r="H1362" t="s">
        <v>1903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70</v>
      </c>
      <c r="O1362">
        <v>70</v>
      </c>
      <c r="P1362">
        <v>0</v>
      </c>
      <c r="Q1362">
        <v>0</v>
      </c>
      <c r="R1362">
        <v>30</v>
      </c>
      <c r="S1362">
        <v>0</v>
      </c>
      <c r="T1362">
        <v>0</v>
      </c>
      <c r="U1362">
        <v>0</v>
      </c>
      <c r="V1362">
        <v>0</v>
      </c>
      <c r="X1362">
        <v>0</v>
      </c>
      <c r="Y1362">
        <v>0</v>
      </c>
      <c r="Z1362">
        <v>0</v>
      </c>
      <c r="AA1362">
        <v>0</v>
      </c>
      <c r="AB1362" t="s">
        <v>2890</v>
      </c>
    </row>
    <row r="1363" spans="1:28" x14ac:dyDescent="0.25">
      <c r="H1363" t="s">
        <v>739</v>
      </c>
    </row>
    <row r="1364" spans="1:28" x14ac:dyDescent="0.25">
      <c r="A1364">
        <v>679</v>
      </c>
      <c r="B1364">
        <v>681</v>
      </c>
      <c r="C1364" t="s">
        <v>2891</v>
      </c>
      <c r="D1364" t="s">
        <v>43</v>
      </c>
      <c r="E1364" t="s">
        <v>44</v>
      </c>
      <c r="F1364" t="s">
        <v>2892</v>
      </c>
      <c r="G1364" t="str">
        <f>"00240076"</f>
        <v>00240076</v>
      </c>
      <c r="H1364" t="s">
        <v>2893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70</v>
      </c>
      <c r="O1364">
        <v>0</v>
      </c>
      <c r="P1364">
        <v>30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>
        <v>0</v>
      </c>
      <c r="Z1364">
        <v>12</v>
      </c>
      <c r="AA1364">
        <v>204</v>
      </c>
      <c r="AB1364" t="s">
        <v>2894</v>
      </c>
    </row>
    <row r="1365" spans="1:28" x14ac:dyDescent="0.25">
      <c r="H1365" t="s">
        <v>2895</v>
      </c>
    </row>
    <row r="1366" spans="1:28" x14ac:dyDescent="0.25">
      <c r="A1366">
        <v>680</v>
      </c>
      <c r="B1366">
        <v>5254</v>
      </c>
      <c r="C1366" t="s">
        <v>2896</v>
      </c>
      <c r="D1366" t="s">
        <v>716</v>
      </c>
      <c r="E1366" t="s">
        <v>762</v>
      </c>
      <c r="F1366" t="s">
        <v>2897</v>
      </c>
      <c r="G1366" t="str">
        <f>"00209221"</f>
        <v>00209221</v>
      </c>
      <c r="H1366" t="s">
        <v>1342</v>
      </c>
      <c r="I1366">
        <v>0</v>
      </c>
      <c r="J1366">
        <v>0</v>
      </c>
      <c r="K1366">
        <v>0</v>
      </c>
      <c r="L1366">
        <v>200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0</v>
      </c>
      <c r="Y1366">
        <v>0</v>
      </c>
      <c r="Z1366">
        <v>0</v>
      </c>
      <c r="AA1366">
        <v>0</v>
      </c>
      <c r="AB1366" t="s">
        <v>2898</v>
      </c>
    </row>
    <row r="1367" spans="1:28" x14ac:dyDescent="0.25">
      <c r="H1367">
        <v>1009</v>
      </c>
    </row>
    <row r="1368" spans="1:28" x14ac:dyDescent="0.25">
      <c r="A1368">
        <v>681</v>
      </c>
      <c r="B1368">
        <v>2994</v>
      </c>
      <c r="C1368" t="s">
        <v>2899</v>
      </c>
      <c r="D1368" t="s">
        <v>19</v>
      </c>
      <c r="E1368" t="s">
        <v>14</v>
      </c>
      <c r="F1368" t="s">
        <v>2900</v>
      </c>
      <c r="G1368" t="str">
        <f>"201405002217"</f>
        <v>201405002217</v>
      </c>
      <c r="H1368" t="s">
        <v>718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>
        <v>0</v>
      </c>
      <c r="Z1368">
        <v>0</v>
      </c>
      <c r="AA1368">
        <v>0</v>
      </c>
      <c r="AB1368" t="s">
        <v>2901</v>
      </c>
    </row>
    <row r="1369" spans="1:28" x14ac:dyDescent="0.25">
      <c r="H1369" t="s">
        <v>2902</v>
      </c>
    </row>
    <row r="1370" spans="1:28" x14ac:dyDescent="0.25">
      <c r="A1370">
        <v>682</v>
      </c>
      <c r="B1370">
        <v>3052</v>
      </c>
      <c r="C1370" t="s">
        <v>2903</v>
      </c>
      <c r="D1370" t="s">
        <v>43</v>
      </c>
      <c r="E1370" t="s">
        <v>154</v>
      </c>
      <c r="F1370" t="s">
        <v>2904</v>
      </c>
      <c r="G1370" t="str">
        <f>"201304006009"</f>
        <v>201304006009</v>
      </c>
      <c r="H1370">
        <v>792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70</v>
      </c>
      <c r="O1370">
        <v>30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0</v>
      </c>
      <c r="Y1370">
        <v>0</v>
      </c>
      <c r="Z1370">
        <v>0</v>
      </c>
      <c r="AA1370">
        <v>0</v>
      </c>
      <c r="AB1370">
        <v>892</v>
      </c>
    </row>
    <row r="1371" spans="1:28" x14ac:dyDescent="0.25">
      <c r="H1371" t="s">
        <v>2905</v>
      </c>
    </row>
    <row r="1372" spans="1:28" x14ac:dyDescent="0.25">
      <c r="A1372">
        <v>683</v>
      </c>
      <c r="B1372">
        <v>744</v>
      </c>
      <c r="C1372" t="s">
        <v>2906</v>
      </c>
      <c r="D1372" t="s">
        <v>63</v>
      </c>
      <c r="E1372" t="s">
        <v>51</v>
      </c>
      <c r="F1372" t="s">
        <v>2907</v>
      </c>
      <c r="G1372" t="str">
        <f>"201304001306"</f>
        <v>201304001306</v>
      </c>
      <c r="H1372" t="s">
        <v>2188</v>
      </c>
      <c r="I1372">
        <v>0</v>
      </c>
      <c r="J1372">
        <v>0</v>
      </c>
      <c r="K1372">
        <v>0</v>
      </c>
      <c r="L1372">
        <v>0</v>
      </c>
      <c r="M1372">
        <v>100</v>
      </c>
      <c r="N1372">
        <v>70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0</v>
      </c>
      <c r="Y1372">
        <v>0</v>
      </c>
      <c r="Z1372">
        <v>0</v>
      </c>
      <c r="AA1372">
        <v>0</v>
      </c>
      <c r="AB1372" t="s">
        <v>2908</v>
      </c>
    </row>
    <row r="1373" spans="1:28" x14ac:dyDescent="0.25">
      <c r="H1373" t="s">
        <v>2909</v>
      </c>
    </row>
    <row r="1374" spans="1:28" x14ac:dyDescent="0.25">
      <c r="A1374">
        <v>684</v>
      </c>
      <c r="B1374">
        <v>4013</v>
      </c>
      <c r="C1374" t="s">
        <v>2910</v>
      </c>
      <c r="D1374" t="s">
        <v>80</v>
      </c>
      <c r="E1374" t="s">
        <v>51</v>
      </c>
      <c r="F1374" t="s">
        <v>2911</v>
      </c>
      <c r="G1374" t="str">
        <f>"00014505"</f>
        <v>00014505</v>
      </c>
      <c r="H1374" t="s">
        <v>1086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X1374">
        <v>0</v>
      </c>
      <c r="Y1374">
        <v>0</v>
      </c>
      <c r="Z1374">
        <v>0</v>
      </c>
      <c r="AA1374">
        <v>0</v>
      </c>
      <c r="AB1374" t="s">
        <v>2912</v>
      </c>
    </row>
    <row r="1375" spans="1:28" x14ac:dyDescent="0.25">
      <c r="H1375" t="s">
        <v>2913</v>
      </c>
    </row>
    <row r="1376" spans="1:28" x14ac:dyDescent="0.25">
      <c r="A1376">
        <v>685</v>
      </c>
      <c r="B1376">
        <v>2839</v>
      </c>
      <c r="C1376" t="s">
        <v>2914</v>
      </c>
      <c r="D1376" t="s">
        <v>70</v>
      </c>
      <c r="E1376" t="s">
        <v>161</v>
      </c>
      <c r="F1376">
        <v>2261063</v>
      </c>
      <c r="G1376" t="str">
        <f>"00242953"</f>
        <v>00242953</v>
      </c>
      <c r="H1376" t="s">
        <v>1086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0</v>
      </c>
      <c r="Y1376">
        <v>0</v>
      </c>
      <c r="Z1376">
        <v>0</v>
      </c>
      <c r="AA1376">
        <v>0</v>
      </c>
      <c r="AB1376" t="s">
        <v>2912</v>
      </c>
    </row>
    <row r="1377" spans="1:28" x14ac:dyDescent="0.25">
      <c r="H1377" t="s">
        <v>2915</v>
      </c>
    </row>
    <row r="1378" spans="1:28" x14ac:dyDescent="0.25">
      <c r="A1378">
        <v>686</v>
      </c>
      <c r="B1378">
        <v>493</v>
      </c>
      <c r="C1378" t="s">
        <v>2916</v>
      </c>
      <c r="D1378" t="s">
        <v>187</v>
      </c>
      <c r="E1378" t="s">
        <v>134</v>
      </c>
      <c r="F1378" t="s">
        <v>2917</v>
      </c>
      <c r="G1378" t="str">
        <f>"201406007420"</f>
        <v>201406007420</v>
      </c>
      <c r="H1378" t="s">
        <v>1305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70</v>
      </c>
      <c r="O1378">
        <v>0</v>
      </c>
      <c r="P1378">
        <v>50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0</v>
      </c>
      <c r="Z1378">
        <v>0</v>
      </c>
      <c r="AA1378">
        <v>0</v>
      </c>
      <c r="AB1378" t="s">
        <v>2918</v>
      </c>
    </row>
    <row r="1379" spans="1:28" x14ac:dyDescent="0.25">
      <c r="H1379" t="s">
        <v>2919</v>
      </c>
    </row>
    <row r="1380" spans="1:28" x14ac:dyDescent="0.25">
      <c r="A1380">
        <v>687</v>
      </c>
      <c r="B1380">
        <v>2028</v>
      </c>
      <c r="C1380" t="s">
        <v>2920</v>
      </c>
      <c r="D1380" t="s">
        <v>350</v>
      </c>
      <c r="E1380" t="s">
        <v>50</v>
      </c>
      <c r="F1380" t="s">
        <v>2921</v>
      </c>
      <c r="G1380" t="str">
        <f>"00323397"</f>
        <v>00323397</v>
      </c>
      <c r="H1380" t="s">
        <v>145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70</v>
      </c>
      <c r="O1380">
        <v>0</v>
      </c>
      <c r="P1380">
        <v>30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X1380">
        <v>0</v>
      </c>
      <c r="Y1380">
        <v>0</v>
      </c>
      <c r="Z1380">
        <v>0</v>
      </c>
      <c r="AA1380">
        <v>0</v>
      </c>
      <c r="AB1380" t="s">
        <v>2922</v>
      </c>
    </row>
    <row r="1381" spans="1:28" x14ac:dyDescent="0.25">
      <c r="H1381" t="s">
        <v>2694</v>
      </c>
    </row>
    <row r="1382" spans="1:28" x14ac:dyDescent="0.25">
      <c r="A1382">
        <v>688</v>
      </c>
      <c r="B1382">
        <v>3412</v>
      </c>
      <c r="C1382" t="s">
        <v>2923</v>
      </c>
      <c r="D1382" t="s">
        <v>187</v>
      </c>
      <c r="E1382" t="s">
        <v>254</v>
      </c>
      <c r="F1382" t="s">
        <v>2924</v>
      </c>
      <c r="G1382" t="str">
        <f>"201304002937"</f>
        <v>201304002937</v>
      </c>
      <c r="H1382" t="s">
        <v>289</v>
      </c>
      <c r="I1382">
        <v>0</v>
      </c>
      <c r="J1382">
        <v>0</v>
      </c>
      <c r="K1382">
        <v>0</v>
      </c>
      <c r="L1382">
        <v>0</v>
      </c>
      <c r="M1382">
        <v>100</v>
      </c>
      <c r="N1382">
        <v>70</v>
      </c>
      <c r="O1382">
        <v>0</v>
      </c>
      <c r="P1382">
        <v>30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0</v>
      </c>
      <c r="Y1382">
        <v>0</v>
      </c>
      <c r="Z1382">
        <v>0</v>
      </c>
      <c r="AA1382">
        <v>0</v>
      </c>
      <c r="AB1382" t="s">
        <v>2925</v>
      </c>
    </row>
    <row r="1383" spans="1:28" x14ac:dyDescent="0.25">
      <c r="H1383" t="s">
        <v>2926</v>
      </c>
    </row>
    <row r="1384" spans="1:28" x14ac:dyDescent="0.25">
      <c r="A1384">
        <v>689</v>
      </c>
      <c r="B1384">
        <v>5253</v>
      </c>
      <c r="C1384" t="s">
        <v>2927</v>
      </c>
      <c r="D1384" t="s">
        <v>20</v>
      </c>
      <c r="E1384" t="s">
        <v>247</v>
      </c>
      <c r="F1384" t="s">
        <v>2928</v>
      </c>
      <c r="G1384" t="str">
        <f>"00196602"</f>
        <v>00196602</v>
      </c>
      <c r="H1384" t="s">
        <v>1485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70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>
        <v>0</v>
      </c>
      <c r="Z1384">
        <v>0</v>
      </c>
      <c r="AA1384">
        <v>0</v>
      </c>
      <c r="AB1384" t="s">
        <v>2929</v>
      </c>
    </row>
    <row r="1385" spans="1:28" x14ac:dyDescent="0.25">
      <c r="H1385" t="s">
        <v>2930</v>
      </c>
    </row>
    <row r="1386" spans="1:28" x14ac:dyDescent="0.25">
      <c r="A1386">
        <v>690</v>
      </c>
      <c r="B1386">
        <v>509</v>
      </c>
      <c r="C1386" t="s">
        <v>2931</v>
      </c>
      <c r="D1386" t="s">
        <v>2932</v>
      </c>
      <c r="E1386" t="s">
        <v>393</v>
      </c>
      <c r="F1386" t="s">
        <v>2933</v>
      </c>
      <c r="G1386" t="str">
        <f>"200809000807"</f>
        <v>200809000807</v>
      </c>
      <c r="H1386" t="s">
        <v>2193</v>
      </c>
      <c r="I1386">
        <v>0</v>
      </c>
      <c r="J1386">
        <v>0</v>
      </c>
      <c r="K1386">
        <v>0</v>
      </c>
      <c r="L1386">
        <v>0</v>
      </c>
      <c r="M1386">
        <v>100</v>
      </c>
      <c r="N1386">
        <v>70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X1386">
        <v>0</v>
      </c>
      <c r="Y1386">
        <v>0</v>
      </c>
      <c r="Z1386">
        <v>0</v>
      </c>
      <c r="AA1386">
        <v>0</v>
      </c>
      <c r="AB1386" t="s">
        <v>2934</v>
      </c>
    </row>
    <row r="1387" spans="1:28" x14ac:dyDescent="0.25">
      <c r="H1387" t="s">
        <v>2935</v>
      </c>
    </row>
    <row r="1388" spans="1:28" x14ac:dyDescent="0.25">
      <c r="A1388">
        <v>691</v>
      </c>
      <c r="B1388">
        <v>1990</v>
      </c>
      <c r="C1388" t="s">
        <v>2936</v>
      </c>
      <c r="D1388" t="s">
        <v>550</v>
      </c>
      <c r="E1388" t="s">
        <v>20</v>
      </c>
      <c r="F1388" t="s">
        <v>2937</v>
      </c>
      <c r="G1388" t="str">
        <f>"200712005529"</f>
        <v>200712005529</v>
      </c>
      <c r="H1388" t="s">
        <v>608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30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X1388">
        <v>0</v>
      </c>
      <c r="Y1388">
        <v>0</v>
      </c>
      <c r="Z1388">
        <v>0</v>
      </c>
      <c r="AA1388">
        <v>0</v>
      </c>
      <c r="AB1388" t="s">
        <v>2938</v>
      </c>
    </row>
    <row r="1389" spans="1:28" x14ac:dyDescent="0.25">
      <c r="H1389" t="s">
        <v>2939</v>
      </c>
    </row>
    <row r="1390" spans="1:28" x14ac:dyDescent="0.25">
      <c r="A1390">
        <v>692</v>
      </c>
      <c r="B1390">
        <v>2442</v>
      </c>
      <c r="C1390" t="s">
        <v>2940</v>
      </c>
      <c r="D1390" t="s">
        <v>155</v>
      </c>
      <c r="E1390" t="s">
        <v>14</v>
      </c>
      <c r="F1390" t="s">
        <v>2941</v>
      </c>
      <c r="G1390" t="str">
        <f>"201410001490"</f>
        <v>201410001490</v>
      </c>
      <c r="H1390" t="s">
        <v>2173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30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X1390">
        <v>0</v>
      </c>
      <c r="Y1390">
        <v>0</v>
      </c>
      <c r="Z1390">
        <v>8</v>
      </c>
      <c r="AA1390">
        <v>136</v>
      </c>
      <c r="AB1390" t="s">
        <v>2942</v>
      </c>
    </row>
    <row r="1391" spans="1:28" x14ac:dyDescent="0.25">
      <c r="H1391" t="s">
        <v>2943</v>
      </c>
    </row>
    <row r="1392" spans="1:28" x14ac:dyDescent="0.25">
      <c r="A1392">
        <v>693</v>
      </c>
      <c r="B1392">
        <v>1749</v>
      </c>
      <c r="C1392" t="s">
        <v>1674</v>
      </c>
      <c r="D1392" t="s">
        <v>230</v>
      </c>
      <c r="E1392" t="s">
        <v>20</v>
      </c>
      <c r="F1392" t="s">
        <v>2944</v>
      </c>
      <c r="G1392" t="str">
        <f>"00322826"</f>
        <v>00322826</v>
      </c>
      <c r="H1392" t="s">
        <v>2945</v>
      </c>
      <c r="I1392">
        <v>0</v>
      </c>
      <c r="J1392">
        <v>0</v>
      </c>
      <c r="K1392">
        <v>0</v>
      </c>
      <c r="L1392">
        <v>0</v>
      </c>
      <c r="M1392">
        <v>100</v>
      </c>
      <c r="N1392">
        <v>70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X1392">
        <v>0</v>
      </c>
      <c r="Y1392">
        <v>0</v>
      </c>
      <c r="Z1392">
        <v>0</v>
      </c>
      <c r="AA1392">
        <v>0</v>
      </c>
      <c r="AB1392" t="s">
        <v>2946</v>
      </c>
    </row>
    <row r="1393" spans="1:28" x14ac:dyDescent="0.25">
      <c r="H1393" t="s">
        <v>2947</v>
      </c>
    </row>
    <row r="1394" spans="1:28" x14ac:dyDescent="0.25">
      <c r="A1394">
        <v>694</v>
      </c>
      <c r="B1394">
        <v>216</v>
      </c>
      <c r="C1394" t="s">
        <v>2948</v>
      </c>
      <c r="D1394" t="s">
        <v>387</v>
      </c>
      <c r="E1394" t="s">
        <v>109</v>
      </c>
      <c r="F1394" t="s">
        <v>2949</v>
      </c>
      <c r="G1394" t="str">
        <f>"201402004005"</f>
        <v>201402004005</v>
      </c>
      <c r="H1394" t="s">
        <v>1132</v>
      </c>
      <c r="I1394">
        <v>0</v>
      </c>
      <c r="J1394">
        <v>0</v>
      </c>
      <c r="K1394">
        <v>0</v>
      </c>
      <c r="L1394">
        <v>0</v>
      </c>
      <c r="M1394">
        <v>100</v>
      </c>
      <c r="N1394">
        <v>50</v>
      </c>
      <c r="O1394">
        <v>50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X1394">
        <v>0</v>
      </c>
      <c r="Y1394">
        <v>0</v>
      </c>
      <c r="Z1394">
        <v>0</v>
      </c>
      <c r="AA1394">
        <v>0</v>
      </c>
      <c r="AB1394" t="s">
        <v>2950</v>
      </c>
    </row>
    <row r="1395" spans="1:28" x14ac:dyDescent="0.25">
      <c r="H1395" t="s">
        <v>421</v>
      </c>
    </row>
    <row r="1396" spans="1:28" x14ac:dyDescent="0.25">
      <c r="A1396">
        <v>695</v>
      </c>
      <c r="B1396">
        <v>578</v>
      </c>
      <c r="C1396" t="s">
        <v>2951</v>
      </c>
      <c r="D1396" t="s">
        <v>1017</v>
      </c>
      <c r="E1396" t="s">
        <v>345</v>
      </c>
      <c r="F1396" t="s">
        <v>2952</v>
      </c>
      <c r="G1396" t="str">
        <f>"200801000781"</f>
        <v>200801000781</v>
      </c>
      <c r="H1396" t="s">
        <v>1384</v>
      </c>
      <c r="I1396">
        <v>0</v>
      </c>
      <c r="J1396">
        <v>0</v>
      </c>
      <c r="K1396">
        <v>0</v>
      </c>
      <c r="L1396">
        <v>0</v>
      </c>
      <c r="M1396">
        <v>100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X1396">
        <v>0</v>
      </c>
      <c r="Y1396">
        <v>0</v>
      </c>
      <c r="Z1396">
        <v>0</v>
      </c>
      <c r="AA1396">
        <v>0</v>
      </c>
      <c r="AB1396" t="s">
        <v>2953</v>
      </c>
    </row>
    <row r="1397" spans="1:28" x14ac:dyDescent="0.25">
      <c r="H1397">
        <v>1009</v>
      </c>
    </row>
    <row r="1398" spans="1:28" x14ac:dyDescent="0.25">
      <c r="A1398">
        <v>696</v>
      </c>
      <c r="B1398">
        <v>4472</v>
      </c>
      <c r="C1398" t="s">
        <v>2954</v>
      </c>
      <c r="D1398" t="s">
        <v>19</v>
      </c>
      <c r="E1398" t="s">
        <v>869</v>
      </c>
      <c r="F1398" t="s">
        <v>2955</v>
      </c>
      <c r="G1398" t="str">
        <f>"00224810"</f>
        <v>00224810</v>
      </c>
      <c r="H1398" t="s">
        <v>157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70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X1398">
        <v>0</v>
      </c>
      <c r="Y1398">
        <v>0</v>
      </c>
      <c r="Z1398">
        <v>0</v>
      </c>
      <c r="AA1398">
        <v>0</v>
      </c>
      <c r="AB1398" t="s">
        <v>2956</v>
      </c>
    </row>
    <row r="1399" spans="1:28" x14ac:dyDescent="0.25">
      <c r="H1399" t="s">
        <v>1013</v>
      </c>
    </row>
    <row r="1400" spans="1:28" x14ac:dyDescent="0.25">
      <c r="A1400">
        <v>697</v>
      </c>
      <c r="B1400">
        <v>818</v>
      </c>
      <c r="C1400" t="s">
        <v>2957</v>
      </c>
      <c r="D1400" t="s">
        <v>80</v>
      </c>
      <c r="E1400" t="s">
        <v>194</v>
      </c>
      <c r="F1400" t="s">
        <v>2958</v>
      </c>
      <c r="G1400" t="str">
        <f>"201506002895"</f>
        <v>201506002895</v>
      </c>
      <c r="H1400" t="s">
        <v>2296</v>
      </c>
      <c r="I1400">
        <v>0</v>
      </c>
      <c r="J1400">
        <v>0</v>
      </c>
      <c r="K1400">
        <v>0</v>
      </c>
      <c r="L1400">
        <v>200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X1400">
        <v>0</v>
      </c>
      <c r="Y1400">
        <v>0</v>
      </c>
      <c r="Z1400">
        <v>0</v>
      </c>
      <c r="AA1400">
        <v>0</v>
      </c>
      <c r="AB1400" t="s">
        <v>2959</v>
      </c>
    </row>
    <row r="1401" spans="1:28" x14ac:dyDescent="0.25">
      <c r="H1401" t="s">
        <v>2960</v>
      </c>
    </row>
    <row r="1402" spans="1:28" x14ac:dyDescent="0.25">
      <c r="A1402">
        <v>698</v>
      </c>
      <c r="B1402">
        <v>1924</v>
      </c>
      <c r="C1402" t="s">
        <v>445</v>
      </c>
      <c r="D1402" t="s">
        <v>187</v>
      </c>
      <c r="E1402" t="s">
        <v>155</v>
      </c>
      <c r="F1402" t="s">
        <v>2961</v>
      </c>
      <c r="G1402" t="str">
        <f>"201402012359"</f>
        <v>201402012359</v>
      </c>
      <c r="H1402" t="s">
        <v>2534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70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X1402">
        <v>0</v>
      </c>
      <c r="Y1402">
        <v>0</v>
      </c>
      <c r="Z1402">
        <v>0</v>
      </c>
      <c r="AA1402">
        <v>0</v>
      </c>
      <c r="AB1402" t="s">
        <v>2962</v>
      </c>
    </row>
    <row r="1403" spans="1:28" x14ac:dyDescent="0.25">
      <c r="H1403" t="s">
        <v>1013</v>
      </c>
    </row>
    <row r="1404" spans="1:28" x14ac:dyDescent="0.25">
      <c r="A1404">
        <v>699</v>
      </c>
      <c r="B1404">
        <v>5274</v>
      </c>
      <c r="C1404" t="s">
        <v>2963</v>
      </c>
      <c r="D1404" t="s">
        <v>2964</v>
      </c>
      <c r="E1404" t="s">
        <v>51</v>
      </c>
      <c r="F1404" t="s">
        <v>2965</v>
      </c>
      <c r="G1404" t="str">
        <f>"201304004846"</f>
        <v>201304004846</v>
      </c>
      <c r="H1404" t="s">
        <v>34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70</v>
      </c>
      <c r="O1404">
        <v>50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X1404">
        <v>0</v>
      </c>
      <c r="Y1404">
        <v>0</v>
      </c>
      <c r="Z1404">
        <v>0</v>
      </c>
      <c r="AA1404">
        <v>0</v>
      </c>
      <c r="AB1404" t="s">
        <v>2966</v>
      </c>
    </row>
    <row r="1405" spans="1:28" x14ac:dyDescent="0.25">
      <c r="H1405" t="s">
        <v>2967</v>
      </c>
    </row>
    <row r="1406" spans="1:28" x14ac:dyDescent="0.25">
      <c r="A1406">
        <v>700</v>
      </c>
      <c r="B1406">
        <v>4858</v>
      </c>
      <c r="C1406" t="s">
        <v>2968</v>
      </c>
      <c r="D1406" t="s">
        <v>19</v>
      </c>
      <c r="E1406" t="s">
        <v>218</v>
      </c>
      <c r="F1406" t="s">
        <v>2969</v>
      </c>
      <c r="G1406" t="str">
        <f>"201410010325"</f>
        <v>201410010325</v>
      </c>
      <c r="H1406" t="s">
        <v>163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X1406">
        <v>1</v>
      </c>
      <c r="Y1406">
        <v>0</v>
      </c>
      <c r="Z1406">
        <v>0</v>
      </c>
      <c r="AA1406">
        <v>0</v>
      </c>
      <c r="AB1406" t="s">
        <v>2970</v>
      </c>
    </row>
    <row r="1407" spans="1:28" x14ac:dyDescent="0.25">
      <c r="H1407" t="s">
        <v>2971</v>
      </c>
    </row>
    <row r="1408" spans="1:28" x14ac:dyDescent="0.25">
      <c r="A1408">
        <v>701</v>
      </c>
      <c r="B1408">
        <v>4287</v>
      </c>
      <c r="C1408" t="s">
        <v>2972</v>
      </c>
      <c r="D1408" t="s">
        <v>19</v>
      </c>
      <c r="E1408" t="s">
        <v>51</v>
      </c>
      <c r="F1408" t="s">
        <v>2973</v>
      </c>
      <c r="G1408" t="str">
        <f>"00242189"</f>
        <v>00242189</v>
      </c>
      <c r="H1408" t="s">
        <v>175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70</v>
      </c>
      <c r="O1408">
        <v>0</v>
      </c>
      <c r="P1408">
        <v>0</v>
      </c>
      <c r="Q1408">
        <v>0</v>
      </c>
      <c r="R1408">
        <v>30</v>
      </c>
      <c r="S1408">
        <v>0</v>
      </c>
      <c r="T1408">
        <v>0</v>
      </c>
      <c r="U1408">
        <v>0</v>
      </c>
      <c r="V1408">
        <v>0</v>
      </c>
      <c r="X1408">
        <v>0</v>
      </c>
      <c r="Y1408">
        <v>0</v>
      </c>
      <c r="Z1408">
        <v>0</v>
      </c>
      <c r="AA1408">
        <v>0</v>
      </c>
      <c r="AB1408" t="s">
        <v>2974</v>
      </c>
    </row>
    <row r="1409" spans="1:28" x14ac:dyDescent="0.25">
      <c r="H1409" t="s">
        <v>2975</v>
      </c>
    </row>
    <row r="1410" spans="1:28" x14ac:dyDescent="0.25">
      <c r="A1410">
        <v>702</v>
      </c>
      <c r="B1410">
        <v>650</v>
      </c>
      <c r="C1410" t="s">
        <v>2976</v>
      </c>
      <c r="D1410" t="s">
        <v>277</v>
      </c>
      <c r="E1410" t="s">
        <v>14</v>
      </c>
      <c r="F1410" t="s">
        <v>2977</v>
      </c>
      <c r="G1410" t="str">
        <f>"00142865"</f>
        <v>00142865</v>
      </c>
      <c r="H1410" t="s">
        <v>175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70</v>
      </c>
      <c r="O1410">
        <v>0</v>
      </c>
      <c r="P1410">
        <v>30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X1410">
        <v>0</v>
      </c>
      <c r="Y1410">
        <v>0</v>
      </c>
      <c r="Z1410">
        <v>0</v>
      </c>
      <c r="AA1410">
        <v>0</v>
      </c>
      <c r="AB1410" t="s">
        <v>2974</v>
      </c>
    </row>
    <row r="1411" spans="1:28" x14ac:dyDescent="0.25">
      <c r="H1411" t="s">
        <v>409</v>
      </c>
    </row>
    <row r="1412" spans="1:28" x14ac:dyDescent="0.25">
      <c r="A1412">
        <v>703</v>
      </c>
      <c r="B1412">
        <v>205</v>
      </c>
      <c r="C1412" t="s">
        <v>2978</v>
      </c>
      <c r="D1412" t="s">
        <v>98</v>
      </c>
      <c r="E1412" t="s">
        <v>1431</v>
      </c>
      <c r="F1412" t="s">
        <v>2979</v>
      </c>
      <c r="G1412" t="str">
        <f>"200904000162"</f>
        <v>200904000162</v>
      </c>
      <c r="H1412" t="s">
        <v>1202</v>
      </c>
      <c r="I1412">
        <v>0</v>
      </c>
      <c r="J1412">
        <v>0</v>
      </c>
      <c r="K1412">
        <v>0</v>
      </c>
      <c r="L1412">
        <v>0</v>
      </c>
      <c r="M1412">
        <v>100</v>
      </c>
      <c r="N1412">
        <v>70</v>
      </c>
      <c r="O1412">
        <v>0</v>
      </c>
      <c r="P1412">
        <v>0</v>
      </c>
      <c r="Q1412">
        <v>0</v>
      </c>
      <c r="R1412">
        <v>30</v>
      </c>
      <c r="S1412">
        <v>0</v>
      </c>
      <c r="T1412">
        <v>0</v>
      </c>
      <c r="U1412">
        <v>0</v>
      </c>
      <c r="V1412">
        <v>0</v>
      </c>
      <c r="X1412">
        <v>0</v>
      </c>
      <c r="Y1412">
        <v>0</v>
      </c>
      <c r="Z1412">
        <v>0</v>
      </c>
      <c r="AA1412">
        <v>0</v>
      </c>
      <c r="AB1412" t="s">
        <v>2980</v>
      </c>
    </row>
    <row r="1413" spans="1:28" x14ac:dyDescent="0.25">
      <c r="H1413" t="s">
        <v>2981</v>
      </c>
    </row>
    <row r="1414" spans="1:28" x14ac:dyDescent="0.25">
      <c r="A1414">
        <v>704</v>
      </c>
      <c r="B1414">
        <v>4536</v>
      </c>
      <c r="C1414" t="s">
        <v>2982</v>
      </c>
      <c r="D1414" t="s">
        <v>2983</v>
      </c>
      <c r="E1414" t="s">
        <v>51</v>
      </c>
      <c r="F1414" t="s">
        <v>2984</v>
      </c>
      <c r="G1414" t="str">
        <f>"00208066"</f>
        <v>00208066</v>
      </c>
      <c r="H1414" t="s">
        <v>568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70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X1414">
        <v>0</v>
      </c>
      <c r="Y1414">
        <v>0</v>
      </c>
      <c r="Z1414">
        <v>0</v>
      </c>
      <c r="AA1414">
        <v>0</v>
      </c>
      <c r="AB1414" t="s">
        <v>2985</v>
      </c>
    </row>
    <row r="1415" spans="1:28" x14ac:dyDescent="0.25">
      <c r="H1415" t="s">
        <v>2986</v>
      </c>
    </row>
    <row r="1416" spans="1:28" x14ac:dyDescent="0.25">
      <c r="A1416">
        <v>705</v>
      </c>
      <c r="B1416">
        <v>3160</v>
      </c>
      <c r="C1416" t="s">
        <v>2987</v>
      </c>
      <c r="D1416" t="s">
        <v>97</v>
      </c>
      <c r="E1416" t="s">
        <v>2119</v>
      </c>
      <c r="F1416" t="s">
        <v>2988</v>
      </c>
      <c r="G1416" t="str">
        <f>"201511006564"</f>
        <v>201511006564</v>
      </c>
      <c r="H1416" t="s">
        <v>1051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70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X1416">
        <v>0</v>
      </c>
      <c r="Y1416">
        <v>0</v>
      </c>
      <c r="Z1416">
        <v>0</v>
      </c>
      <c r="AA1416">
        <v>0</v>
      </c>
      <c r="AB1416" t="s">
        <v>2989</v>
      </c>
    </row>
    <row r="1417" spans="1:28" x14ac:dyDescent="0.25">
      <c r="H1417" t="s">
        <v>2990</v>
      </c>
    </row>
    <row r="1418" spans="1:28" x14ac:dyDescent="0.25">
      <c r="A1418">
        <v>706</v>
      </c>
      <c r="B1418">
        <v>1866</v>
      </c>
      <c r="C1418" t="s">
        <v>2991</v>
      </c>
      <c r="D1418" t="s">
        <v>303</v>
      </c>
      <c r="E1418" t="s">
        <v>2578</v>
      </c>
      <c r="F1418" t="s">
        <v>2992</v>
      </c>
      <c r="G1418" t="str">
        <f>"201402001164"</f>
        <v>201402001164</v>
      </c>
      <c r="H1418" t="s">
        <v>2056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70</v>
      </c>
      <c r="O1418">
        <v>50</v>
      </c>
      <c r="P1418">
        <v>0</v>
      </c>
      <c r="Q1418">
        <v>0</v>
      </c>
      <c r="R1418">
        <v>50</v>
      </c>
      <c r="S1418">
        <v>0</v>
      </c>
      <c r="T1418">
        <v>0</v>
      </c>
      <c r="U1418">
        <v>0</v>
      </c>
      <c r="V1418">
        <v>0</v>
      </c>
      <c r="X1418">
        <v>0</v>
      </c>
      <c r="Y1418">
        <v>0</v>
      </c>
      <c r="Z1418">
        <v>0</v>
      </c>
      <c r="AA1418">
        <v>0</v>
      </c>
      <c r="AB1418" t="s">
        <v>2993</v>
      </c>
    </row>
    <row r="1419" spans="1:28" x14ac:dyDescent="0.25">
      <c r="H1419">
        <v>1009</v>
      </c>
    </row>
    <row r="1420" spans="1:28" x14ac:dyDescent="0.25">
      <c r="A1420">
        <v>707</v>
      </c>
      <c r="B1420">
        <v>5294</v>
      </c>
      <c r="C1420" t="s">
        <v>2994</v>
      </c>
      <c r="D1420" t="s">
        <v>480</v>
      </c>
      <c r="E1420" t="s">
        <v>758</v>
      </c>
      <c r="F1420" t="s">
        <v>2995</v>
      </c>
      <c r="G1420" t="str">
        <f>"201604002379"</f>
        <v>201604002379</v>
      </c>
      <c r="H1420" t="s">
        <v>2173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70</v>
      </c>
      <c r="O1420">
        <v>0</v>
      </c>
      <c r="P1420">
        <v>30</v>
      </c>
      <c r="Q1420">
        <v>50</v>
      </c>
      <c r="R1420">
        <v>0</v>
      </c>
      <c r="S1420">
        <v>0</v>
      </c>
      <c r="T1420">
        <v>0</v>
      </c>
      <c r="U1420">
        <v>0</v>
      </c>
      <c r="V1420">
        <v>0</v>
      </c>
      <c r="X1420">
        <v>0</v>
      </c>
      <c r="Y1420">
        <v>0</v>
      </c>
      <c r="Z1420">
        <v>0</v>
      </c>
      <c r="AA1420">
        <v>0</v>
      </c>
      <c r="AB1420" t="s">
        <v>2996</v>
      </c>
    </row>
    <row r="1421" spans="1:28" x14ac:dyDescent="0.25">
      <c r="H1421" t="s">
        <v>2997</v>
      </c>
    </row>
    <row r="1422" spans="1:28" x14ac:dyDescent="0.25">
      <c r="A1422">
        <v>708</v>
      </c>
      <c r="B1422">
        <v>5078</v>
      </c>
      <c r="C1422" t="s">
        <v>2998</v>
      </c>
      <c r="D1422" t="s">
        <v>44</v>
      </c>
      <c r="E1422" t="s">
        <v>51</v>
      </c>
      <c r="F1422" t="s">
        <v>2999</v>
      </c>
      <c r="G1422" t="str">
        <f>"201406018860"</f>
        <v>201406018860</v>
      </c>
      <c r="H1422" t="s">
        <v>665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70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X1422">
        <v>0</v>
      </c>
      <c r="Y1422">
        <v>0</v>
      </c>
      <c r="Z1422">
        <v>0</v>
      </c>
      <c r="AA1422">
        <v>0</v>
      </c>
      <c r="AB1422" t="s">
        <v>3000</v>
      </c>
    </row>
    <row r="1423" spans="1:28" x14ac:dyDescent="0.25">
      <c r="H1423" t="s">
        <v>3001</v>
      </c>
    </row>
    <row r="1424" spans="1:28" x14ac:dyDescent="0.25">
      <c r="A1424">
        <v>709</v>
      </c>
      <c r="B1424">
        <v>2405</v>
      </c>
      <c r="C1424" t="s">
        <v>3002</v>
      </c>
      <c r="D1424" t="s">
        <v>51</v>
      </c>
      <c r="E1424" t="s">
        <v>155</v>
      </c>
      <c r="F1424" t="s">
        <v>3003</v>
      </c>
      <c r="G1424" t="str">
        <f>"00195187"</f>
        <v>00195187</v>
      </c>
      <c r="H1424" t="s">
        <v>665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70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X1424">
        <v>0</v>
      </c>
      <c r="Y1424">
        <v>0</v>
      </c>
      <c r="Z1424">
        <v>0</v>
      </c>
      <c r="AA1424">
        <v>0</v>
      </c>
      <c r="AB1424" t="s">
        <v>3000</v>
      </c>
    </row>
    <row r="1425" spans="1:28" x14ac:dyDescent="0.25">
      <c r="H1425" t="s">
        <v>3004</v>
      </c>
    </row>
    <row r="1426" spans="1:28" x14ac:dyDescent="0.25">
      <c r="A1426">
        <v>710</v>
      </c>
      <c r="B1426">
        <v>5209</v>
      </c>
      <c r="C1426" t="s">
        <v>3005</v>
      </c>
      <c r="D1426" t="s">
        <v>471</v>
      </c>
      <c r="E1426" t="s">
        <v>117</v>
      </c>
      <c r="F1426" t="s">
        <v>3006</v>
      </c>
      <c r="G1426" t="str">
        <f>"201604001013"</f>
        <v>201604001013</v>
      </c>
      <c r="H1426" t="s">
        <v>912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30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X1426">
        <v>0</v>
      </c>
      <c r="Y1426">
        <v>0</v>
      </c>
      <c r="Z1426">
        <v>0</v>
      </c>
      <c r="AA1426">
        <v>0</v>
      </c>
      <c r="AB1426" t="s">
        <v>3007</v>
      </c>
    </row>
    <row r="1427" spans="1:28" x14ac:dyDescent="0.25">
      <c r="H1427" t="s">
        <v>205</v>
      </c>
    </row>
    <row r="1428" spans="1:28" x14ac:dyDescent="0.25">
      <c r="A1428">
        <v>711</v>
      </c>
      <c r="B1428">
        <v>1178</v>
      </c>
      <c r="C1428" t="s">
        <v>445</v>
      </c>
      <c r="D1428" t="s">
        <v>3008</v>
      </c>
      <c r="E1428" t="s">
        <v>20</v>
      </c>
      <c r="F1428" t="s">
        <v>3009</v>
      </c>
      <c r="G1428" t="str">
        <f>"201409006179"</f>
        <v>201409006179</v>
      </c>
      <c r="H1428" t="s">
        <v>3010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X1428">
        <v>0</v>
      </c>
      <c r="Y1428">
        <v>0</v>
      </c>
      <c r="Z1428">
        <v>0</v>
      </c>
      <c r="AA1428">
        <v>0</v>
      </c>
      <c r="AB1428" t="s">
        <v>3011</v>
      </c>
    </row>
    <row r="1429" spans="1:28" x14ac:dyDescent="0.25">
      <c r="H1429" t="s">
        <v>3012</v>
      </c>
    </row>
    <row r="1430" spans="1:28" x14ac:dyDescent="0.25">
      <c r="A1430">
        <v>712</v>
      </c>
      <c r="B1430">
        <v>2797</v>
      </c>
      <c r="C1430" t="s">
        <v>3013</v>
      </c>
      <c r="D1430" t="s">
        <v>265</v>
      </c>
      <c r="E1430" t="s">
        <v>20</v>
      </c>
      <c r="F1430" t="s">
        <v>3014</v>
      </c>
      <c r="G1430" t="str">
        <f>"201406007988"</f>
        <v>201406007988</v>
      </c>
      <c r="H1430" t="s">
        <v>2193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70</v>
      </c>
      <c r="O1430">
        <v>50</v>
      </c>
      <c r="P1430">
        <v>0</v>
      </c>
      <c r="Q1430">
        <v>0</v>
      </c>
      <c r="R1430">
        <v>30</v>
      </c>
      <c r="S1430">
        <v>0</v>
      </c>
      <c r="T1430">
        <v>0</v>
      </c>
      <c r="U1430">
        <v>0</v>
      </c>
      <c r="V1430">
        <v>0</v>
      </c>
      <c r="X1430">
        <v>0</v>
      </c>
      <c r="Y1430">
        <v>0</v>
      </c>
      <c r="Z1430">
        <v>0</v>
      </c>
      <c r="AA1430">
        <v>0</v>
      </c>
      <c r="AB1430" t="s">
        <v>3015</v>
      </c>
    </row>
    <row r="1431" spans="1:28" x14ac:dyDescent="0.25">
      <c r="H1431" t="s">
        <v>3016</v>
      </c>
    </row>
    <row r="1432" spans="1:28" x14ac:dyDescent="0.25">
      <c r="A1432">
        <v>713</v>
      </c>
      <c r="B1432">
        <v>3892</v>
      </c>
      <c r="C1432" t="s">
        <v>2498</v>
      </c>
      <c r="D1432" t="s">
        <v>3017</v>
      </c>
      <c r="E1432" t="s">
        <v>51</v>
      </c>
      <c r="F1432" t="s">
        <v>3018</v>
      </c>
      <c r="G1432" t="str">
        <f>"201506003774"</f>
        <v>201506003774</v>
      </c>
      <c r="H1432">
        <v>770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70</v>
      </c>
      <c r="O1432">
        <v>0</v>
      </c>
      <c r="P1432">
        <v>0</v>
      </c>
      <c r="Q1432">
        <v>30</v>
      </c>
      <c r="R1432">
        <v>0</v>
      </c>
      <c r="S1432">
        <v>0</v>
      </c>
      <c r="T1432">
        <v>0</v>
      </c>
      <c r="U1432">
        <v>0</v>
      </c>
      <c r="V1432">
        <v>0</v>
      </c>
      <c r="X1432">
        <v>0</v>
      </c>
      <c r="Y1432">
        <v>0</v>
      </c>
      <c r="Z1432">
        <v>0</v>
      </c>
      <c r="AA1432">
        <v>0</v>
      </c>
      <c r="AB1432">
        <v>870</v>
      </c>
    </row>
    <row r="1433" spans="1:28" x14ac:dyDescent="0.25">
      <c r="H1433" t="s">
        <v>3019</v>
      </c>
    </row>
    <row r="1434" spans="1:28" x14ac:dyDescent="0.25">
      <c r="A1434">
        <v>714</v>
      </c>
      <c r="B1434">
        <v>1401</v>
      </c>
      <c r="C1434" t="s">
        <v>3020</v>
      </c>
      <c r="D1434" t="s">
        <v>43</v>
      </c>
      <c r="E1434" t="s">
        <v>155</v>
      </c>
      <c r="F1434" t="s">
        <v>3021</v>
      </c>
      <c r="G1434" t="str">
        <f>"201406014694"</f>
        <v>201406014694</v>
      </c>
      <c r="H1434">
        <v>770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70</v>
      </c>
      <c r="O1434">
        <v>30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X1434">
        <v>0</v>
      </c>
      <c r="Y1434">
        <v>0</v>
      </c>
      <c r="Z1434">
        <v>0</v>
      </c>
      <c r="AA1434">
        <v>0</v>
      </c>
      <c r="AB1434">
        <v>870</v>
      </c>
    </row>
    <row r="1435" spans="1:28" x14ac:dyDescent="0.25">
      <c r="H1435" t="s">
        <v>3022</v>
      </c>
    </row>
    <row r="1436" spans="1:28" x14ac:dyDescent="0.25">
      <c r="A1436">
        <v>715</v>
      </c>
      <c r="B1436">
        <v>3988</v>
      </c>
      <c r="C1436" t="s">
        <v>3023</v>
      </c>
      <c r="D1436" t="s">
        <v>265</v>
      </c>
      <c r="E1436" t="s">
        <v>51</v>
      </c>
      <c r="F1436" t="s">
        <v>3024</v>
      </c>
      <c r="G1436" t="str">
        <f>"00288785"</f>
        <v>00288785</v>
      </c>
      <c r="H1436">
        <v>770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70</v>
      </c>
      <c r="O1436">
        <v>0</v>
      </c>
      <c r="P1436">
        <v>0</v>
      </c>
      <c r="Q1436">
        <v>30</v>
      </c>
      <c r="R1436">
        <v>0</v>
      </c>
      <c r="S1436">
        <v>0</v>
      </c>
      <c r="T1436">
        <v>0</v>
      </c>
      <c r="U1436">
        <v>0</v>
      </c>
      <c r="V1436">
        <v>0</v>
      </c>
      <c r="X1436">
        <v>0</v>
      </c>
      <c r="Y1436">
        <v>0</v>
      </c>
      <c r="Z1436">
        <v>0</v>
      </c>
      <c r="AA1436">
        <v>0</v>
      </c>
      <c r="AB1436">
        <v>870</v>
      </c>
    </row>
    <row r="1437" spans="1:28" x14ac:dyDescent="0.25">
      <c r="H1437" t="s">
        <v>3025</v>
      </c>
    </row>
    <row r="1438" spans="1:28" x14ac:dyDescent="0.25">
      <c r="A1438">
        <v>716</v>
      </c>
      <c r="B1438">
        <v>2992</v>
      </c>
      <c r="C1438" t="s">
        <v>3026</v>
      </c>
      <c r="D1438" t="s">
        <v>187</v>
      </c>
      <c r="E1438" t="s">
        <v>155</v>
      </c>
      <c r="F1438" t="s">
        <v>3027</v>
      </c>
      <c r="G1438" t="str">
        <f>"201406009760"</f>
        <v>201406009760</v>
      </c>
      <c r="H1438" t="s">
        <v>557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70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X1438">
        <v>0</v>
      </c>
      <c r="Y1438">
        <v>0</v>
      </c>
      <c r="Z1438">
        <v>0</v>
      </c>
      <c r="AA1438">
        <v>0</v>
      </c>
      <c r="AB1438" t="s">
        <v>3028</v>
      </c>
    </row>
    <row r="1439" spans="1:28" x14ac:dyDescent="0.25">
      <c r="H1439" t="s">
        <v>3029</v>
      </c>
    </row>
    <row r="1440" spans="1:28" x14ac:dyDescent="0.25">
      <c r="A1440">
        <v>717</v>
      </c>
      <c r="B1440">
        <v>453</v>
      </c>
      <c r="C1440" t="s">
        <v>3030</v>
      </c>
      <c r="D1440" t="s">
        <v>183</v>
      </c>
      <c r="E1440" t="s">
        <v>417</v>
      </c>
      <c r="F1440" t="s">
        <v>3031</v>
      </c>
      <c r="G1440" t="str">
        <f>"00114479"</f>
        <v>00114479</v>
      </c>
      <c r="H1440" t="s">
        <v>460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30</v>
      </c>
      <c r="R1440">
        <v>0</v>
      </c>
      <c r="S1440">
        <v>0</v>
      </c>
      <c r="T1440">
        <v>0</v>
      </c>
      <c r="U1440">
        <v>0</v>
      </c>
      <c r="V1440">
        <v>0</v>
      </c>
      <c r="X1440">
        <v>0</v>
      </c>
      <c r="Y1440">
        <v>0</v>
      </c>
      <c r="Z1440">
        <v>0</v>
      </c>
      <c r="AA1440">
        <v>0</v>
      </c>
      <c r="AB1440" t="s">
        <v>3032</v>
      </c>
    </row>
    <row r="1441" spans="1:28" x14ac:dyDescent="0.25">
      <c r="H1441" t="s">
        <v>3033</v>
      </c>
    </row>
    <row r="1442" spans="1:28" x14ac:dyDescent="0.25">
      <c r="A1442">
        <v>718</v>
      </c>
      <c r="B1442">
        <v>4370</v>
      </c>
      <c r="C1442" t="s">
        <v>3034</v>
      </c>
      <c r="D1442" t="s">
        <v>417</v>
      </c>
      <c r="E1442" t="s">
        <v>117</v>
      </c>
      <c r="F1442" t="s">
        <v>3035</v>
      </c>
      <c r="G1442" t="str">
        <f>"201304005667"</f>
        <v>201304005667</v>
      </c>
      <c r="H1442" t="s">
        <v>377</v>
      </c>
      <c r="I1442">
        <v>0</v>
      </c>
      <c r="J1442">
        <v>0</v>
      </c>
      <c r="K1442">
        <v>0</v>
      </c>
      <c r="L1442">
        <v>0</v>
      </c>
      <c r="M1442">
        <v>100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X1442">
        <v>0</v>
      </c>
      <c r="Y1442">
        <v>0</v>
      </c>
      <c r="Z1442">
        <v>0</v>
      </c>
      <c r="AA1442">
        <v>0</v>
      </c>
      <c r="AB1442" t="s">
        <v>3032</v>
      </c>
    </row>
    <row r="1443" spans="1:28" x14ac:dyDescent="0.25">
      <c r="H1443" t="s">
        <v>3036</v>
      </c>
    </row>
    <row r="1444" spans="1:28" x14ac:dyDescent="0.25">
      <c r="A1444">
        <v>719</v>
      </c>
      <c r="B1444">
        <v>2896</v>
      </c>
      <c r="C1444" t="s">
        <v>3037</v>
      </c>
      <c r="D1444" t="s">
        <v>3038</v>
      </c>
      <c r="E1444" t="s">
        <v>14</v>
      </c>
      <c r="F1444" t="s">
        <v>3039</v>
      </c>
      <c r="G1444" t="str">
        <f>"201406002128"</f>
        <v>201406002128</v>
      </c>
      <c r="H1444" t="s">
        <v>284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50</v>
      </c>
      <c r="O1444">
        <v>0</v>
      </c>
      <c r="P1444">
        <v>0</v>
      </c>
      <c r="Q1444">
        <v>70</v>
      </c>
      <c r="R1444">
        <v>0</v>
      </c>
      <c r="S1444">
        <v>0</v>
      </c>
      <c r="T1444">
        <v>0</v>
      </c>
      <c r="U1444">
        <v>0</v>
      </c>
      <c r="V1444">
        <v>0</v>
      </c>
      <c r="X1444">
        <v>0</v>
      </c>
      <c r="Y1444">
        <v>0</v>
      </c>
      <c r="Z1444">
        <v>0</v>
      </c>
      <c r="AA1444">
        <v>0</v>
      </c>
      <c r="AB1444" t="s">
        <v>3040</v>
      </c>
    </row>
    <row r="1445" spans="1:28" x14ac:dyDescent="0.25">
      <c r="H1445" t="s">
        <v>3041</v>
      </c>
    </row>
    <row r="1446" spans="1:28" x14ac:dyDescent="0.25">
      <c r="A1446">
        <v>720</v>
      </c>
      <c r="B1446">
        <v>1090</v>
      </c>
      <c r="C1446" t="s">
        <v>838</v>
      </c>
      <c r="D1446" t="s">
        <v>80</v>
      </c>
      <c r="E1446" t="s">
        <v>155</v>
      </c>
      <c r="F1446" t="s">
        <v>3042</v>
      </c>
      <c r="G1446" t="str">
        <f>"201502003567"</f>
        <v>201502003567</v>
      </c>
      <c r="H1446" t="s">
        <v>3043</v>
      </c>
      <c r="I1446">
        <v>0</v>
      </c>
      <c r="J1446">
        <v>0</v>
      </c>
      <c r="K1446">
        <v>0</v>
      </c>
      <c r="L1446">
        <v>200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X1446">
        <v>0</v>
      </c>
      <c r="Y1446">
        <v>0</v>
      </c>
      <c r="Z1446">
        <v>0</v>
      </c>
      <c r="AA1446">
        <v>0</v>
      </c>
      <c r="AB1446" t="s">
        <v>3040</v>
      </c>
    </row>
    <row r="1447" spans="1:28" x14ac:dyDescent="0.25">
      <c r="H1447" t="s">
        <v>3044</v>
      </c>
    </row>
    <row r="1448" spans="1:28" x14ac:dyDescent="0.25">
      <c r="A1448">
        <v>721</v>
      </c>
      <c r="B1448">
        <v>1926</v>
      </c>
      <c r="C1448" t="s">
        <v>3045</v>
      </c>
      <c r="D1448" t="s">
        <v>218</v>
      </c>
      <c r="E1448" t="s">
        <v>430</v>
      </c>
      <c r="F1448" t="s">
        <v>3046</v>
      </c>
      <c r="G1448" t="str">
        <f>"201406008852"</f>
        <v>201406008852</v>
      </c>
      <c r="H1448">
        <v>737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30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X1448">
        <v>0</v>
      </c>
      <c r="Y1448">
        <v>0</v>
      </c>
      <c r="Z1448">
        <v>6</v>
      </c>
      <c r="AA1448">
        <v>102</v>
      </c>
      <c r="AB1448">
        <v>869</v>
      </c>
    </row>
    <row r="1449" spans="1:28" x14ac:dyDescent="0.25">
      <c r="H1449" t="s">
        <v>3047</v>
      </c>
    </row>
    <row r="1450" spans="1:28" x14ac:dyDescent="0.25">
      <c r="A1450">
        <v>722</v>
      </c>
      <c r="B1450">
        <v>1641</v>
      </c>
      <c r="C1450" t="s">
        <v>3048</v>
      </c>
      <c r="D1450" t="s">
        <v>3049</v>
      </c>
      <c r="E1450" t="s">
        <v>80</v>
      </c>
      <c r="F1450" t="s">
        <v>3050</v>
      </c>
      <c r="G1450" t="str">
        <f>"201402008151"</f>
        <v>201402008151</v>
      </c>
      <c r="H1450" t="s">
        <v>2849</v>
      </c>
      <c r="I1450">
        <v>0</v>
      </c>
      <c r="J1450">
        <v>0</v>
      </c>
      <c r="K1450">
        <v>0</v>
      </c>
      <c r="L1450">
        <v>0</v>
      </c>
      <c r="M1450">
        <v>100</v>
      </c>
      <c r="N1450">
        <v>70</v>
      </c>
      <c r="O1450">
        <v>30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X1450">
        <v>0</v>
      </c>
      <c r="Y1450">
        <v>0</v>
      </c>
      <c r="Z1450">
        <v>0</v>
      </c>
      <c r="AA1450">
        <v>0</v>
      </c>
      <c r="AB1450" t="s">
        <v>3051</v>
      </c>
    </row>
    <row r="1451" spans="1:28" x14ac:dyDescent="0.25">
      <c r="H1451" t="s">
        <v>3052</v>
      </c>
    </row>
    <row r="1452" spans="1:28" x14ac:dyDescent="0.25">
      <c r="A1452">
        <v>723</v>
      </c>
      <c r="B1452">
        <v>5182</v>
      </c>
      <c r="C1452" t="s">
        <v>3053</v>
      </c>
      <c r="D1452" t="s">
        <v>519</v>
      </c>
      <c r="E1452" t="s">
        <v>51</v>
      </c>
      <c r="F1452" t="s">
        <v>3054</v>
      </c>
      <c r="G1452" t="str">
        <f>"00126886"</f>
        <v>00126886</v>
      </c>
      <c r="H1452" t="s">
        <v>1762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30</v>
      </c>
      <c r="S1452">
        <v>0</v>
      </c>
      <c r="T1452">
        <v>0</v>
      </c>
      <c r="U1452">
        <v>0</v>
      </c>
      <c r="V1452">
        <v>0</v>
      </c>
      <c r="X1452">
        <v>0</v>
      </c>
      <c r="Y1452">
        <v>0</v>
      </c>
      <c r="Z1452">
        <v>0</v>
      </c>
      <c r="AA1452">
        <v>0</v>
      </c>
      <c r="AB1452" t="s">
        <v>3055</v>
      </c>
    </row>
    <row r="1453" spans="1:28" x14ac:dyDescent="0.25">
      <c r="H1453" t="s">
        <v>1013</v>
      </c>
    </row>
    <row r="1454" spans="1:28" x14ac:dyDescent="0.25">
      <c r="A1454">
        <v>724</v>
      </c>
      <c r="B1454">
        <v>1613</v>
      </c>
      <c r="C1454" t="s">
        <v>3056</v>
      </c>
      <c r="D1454" t="s">
        <v>218</v>
      </c>
      <c r="E1454" t="s">
        <v>51</v>
      </c>
      <c r="F1454" t="s">
        <v>3057</v>
      </c>
      <c r="G1454" t="str">
        <f>"201303000453"</f>
        <v>201303000453</v>
      </c>
      <c r="H1454" t="s">
        <v>573</v>
      </c>
      <c r="I1454">
        <v>0</v>
      </c>
      <c r="J1454">
        <v>0</v>
      </c>
      <c r="K1454">
        <v>0</v>
      </c>
      <c r="L1454">
        <v>200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X1454">
        <v>0</v>
      </c>
      <c r="Y1454">
        <v>0</v>
      </c>
      <c r="Z1454">
        <v>0</v>
      </c>
      <c r="AA1454">
        <v>0</v>
      </c>
      <c r="AB1454" t="s">
        <v>3058</v>
      </c>
    </row>
    <row r="1455" spans="1:28" x14ac:dyDescent="0.25">
      <c r="H1455" t="s">
        <v>152</v>
      </c>
    </row>
    <row r="1456" spans="1:28" x14ac:dyDescent="0.25">
      <c r="A1456">
        <v>725</v>
      </c>
      <c r="B1456">
        <v>654</v>
      </c>
      <c r="C1456" t="s">
        <v>3059</v>
      </c>
      <c r="D1456" t="s">
        <v>1006</v>
      </c>
      <c r="E1456" t="s">
        <v>20</v>
      </c>
      <c r="F1456" t="s">
        <v>3060</v>
      </c>
      <c r="G1456" t="str">
        <f>"200802007824"</f>
        <v>200802007824</v>
      </c>
      <c r="H1456" t="s">
        <v>865</v>
      </c>
      <c r="I1456">
        <v>0</v>
      </c>
      <c r="J1456">
        <v>0</v>
      </c>
      <c r="K1456">
        <v>0</v>
      </c>
      <c r="L1456">
        <v>0</v>
      </c>
      <c r="M1456">
        <v>100</v>
      </c>
      <c r="N1456">
        <v>70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X1456">
        <v>0</v>
      </c>
      <c r="Y1456">
        <v>0</v>
      </c>
      <c r="Z1456">
        <v>0</v>
      </c>
      <c r="AA1456">
        <v>0</v>
      </c>
      <c r="AB1456" t="s">
        <v>3061</v>
      </c>
    </row>
    <row r="1457" spans="1:28" x14ac:dyDescent="0.25">
      <c r="H1457" t="s">
        <v>3062</v>
      </c>
    </row>
    <row r="1458" spans="1:28" x14ac:dyDescent="0.25">
      <c r="A1458">
        <v>726</v>
      </c>
      <c r="B1458">
        <v>2023</v>
      </c>
      <c r="C1458" t="s">
        <v>3063</v>
      </c>
      <c r="D1458" t="s">
        <v>1362</v>
      </c>
      <c r="E1458" t="s">
        <v>154</v>
      </c>
      <c r="F1458" t="s">
        <v>3064</v>
      </c>
      <c r="G1458" t="str">
        <f>"00330976"</f>
        <v>00330976</v>
      </c>
      <c r="H1458" t="s">
        <v>932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70</v>
      </c>
      <c r="O1458">
        <v>0</v>
      </c>
      <c r="P1458">
        <v>50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X1458">
        <v>0</v>
      </c>
      <c r="Y1458">
        <v>0</v>
      </c>
      <c r="Z1458">
        <v>0</v>
      </c>
      <c r="AA1458">
        <v>0</v>
      </c>
      <c r="AB1458" t="s">
        <v>3065</v>
      </c>
    </row>
    <row r="1459" spans="1:28" x14ac:dyDescent="0.25">
      <c r="H1459" t="s">
        <v>514</v>
      </c>
    </row>
    <row r="1460" spans="1:28" x14ac:dyDescent="0.25">
      <c r="A1460">
        <v>727</v>
      </c>
      <c r="B1460">
        <v>4421</v>
      </c>
      <c r="C1460" t="s">
        <v>3066</v>
      </c>
      <c r="D1460" t="s">
        <v>155</v>
      </c>
      <c r="E1460" t="s">
        <v>14</v>
      </c>
      <c r="F1460" t="s">
        <v>3067</v>
      </c>
      <c r="G1460" t="str">
        <f>"00342127"</f>
        <v>00342127</v>
      </c>
      <c r="H1460" t="s">
        <v>140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50</v>
      </c>
      <c r="O1460">
        <v>0</v>
      </c>
      <c r="P1460">
        <v>50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X1460">
        <v>0</v>
      </c>
      <c r="Y1460">
        <v>0</v>
      </c>
      <c r="Z1460">
        <v>0</v>
      </c>
      <c r="AA1460">
        <v>0</v>
      </c>
      <c r="AB1460" t="s">
        <v>3068</v>
      </c>
    </row>
    <row r="1461" spans="1:28" x14ac:dyDescent="0.25">
      <c r="H1461">
        <v>1009</v>
      </c>
    </row>
    <row r="1462" spans="1:28" x14ac:dyDescent="0.25">
      <c r="A1462">
        <v>728</v>
      </c>
      <c r="B1462">
        <v>3644</v>
      </c>
      <c r="C1462" t="s">
        <v>3069</v>
      </c>
      <c r="D1462" t="s">
        <v>19</v>
      </c>
      <c r="E1462" t="s">
        <v>417</v>
      </c>
      <c r="F1462" t="s">
        <v>3070</v>
      </c>
      <c r="G1462" t="str">
        <f>"00117550"</f>
        <v>00117550</v>
      </c>
      <c r="H1462" t="s">
        <v>3071</v>
      </c>
      <c r="I1462">
        <v>150</v>
      </c>
      <c r="J1462">
        <v>0</v>
      </c>
      <c r="K1462">
        <v>0</v>
      </c>
      <c r="L1462">
        <v>0</v>
      </c>
      <c r="M1462">
        <v>0</v>
      </c>
      <c r="N1462">
        <v>70</v>
      </c>
      <c r="O1462">
        <v>30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X1462">
        <v>0</v>
      </c>
      <c r="Y1462">
        <v>0</v>
      </c>
      <c r="Z1462">
        <v>0</v>
      </c>
      <c r="AA1462">
        <v>0</v>
      </c>
      <c r="AB1462" t="s">
        <v>3072</v>
      </c>
    </row>
    <row r="1463" spans="1:28" x14ac:dyDescent="0.25">
      <c r="H1463" t="s">
        <v>3073</v>
      </c>
    </row>
    <row r="1464" spans="1:28" x14ac:dyDescent="0.25">
      <c r="A1464">
        <v>729</v>
      </c>
      <c r="B1464">
        <v>3232</v>
      </c>
      <c r="C1464" t="s">
        <v>3074</v>
      </c>
      <c r="D1464" t="s">
        <v>3075</v>
      </c>
      <c r="E1464" t="s">
        <v>38</v>
      </c>
      <c r="F1464" t="s">
        <v>3076</v>
      </c>
      <c r="G1464" t="str">
        <f>"200712004607"</f>
        <v>200712004607</v>
      </c>
      <c r="H1464" t="s">
        <v>1540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70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X1464">
        <v>0</v>
      </c>
      <c r="Y1464">
        <v>0</v>
      </c>
      <c r="Z1464">
        <v>0</v>
      </c>
      <c r="AA1464">
        <v>0</v>
      </c>
      <c r="AB1464" t="s">
        <v>3077</v>
      </c>
    </row>
    <row r="1465" spans="1:28" x14ac:dyDescent="0.25">
      <c r="H1465" t="s">
        <v>60</v>
      </c>
    </row>
    <row r="1466" spans="1:28" x14ac:dyDescent="0.25">
      <c r="A1466">
        <v>730</v>
      </c>
      <c r="B1466">
        <v>4675</v>
      </c>
      <c r="C1466" t="s">
        <v>2436</v>
      </c>
      <c r="D1466" t="s">
        <v>51</v>
      </c>
      <c r="E1466" t="s">
        <v>762</v>
      </c>
      <c r="F1466" t="s">
        <v>3078</v>
      </c>
      <c r="G1466" t="str">
        <f>"201304001060"</f>
        <v>201304001060</v>
      </c>
      <c r="H1466" t="s">
        <v>670</v>
      </c>
      <c r="I1466">
        <v>150</v>
      </c>
      <c r="J1466">
        <v>0</v>
      </c>
      <c r="K1466">
        <v>0</v>
      </c>
      <c r="L1466">
        <v>0</v>
      </c>
      <c r="M1466">
        <v>0</v>
      </c>
      <c r="N1466">
        <v>30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X1466">
        <v>0</v>
      </c>
      <c r="Y1466">
        <v>0</v>
      </c>
      <c r="Z1466">
        <v>0</v>
      </c>
      <c r="AA1466">
        <v>0</v>
      </c>
      <c r="AB1466" t="s">
        <v>3077</v>
      </c>
    </row>
    <row r="1467" spans="1:28" x14ac:dyDescent="0.25">
      <c r="H1467" t="s">
        <v>3079</v>
      </c>
    </row>
    <row r="1468" spans="1:28" x14ac:dyDescent="0.25">
      <c r="A1468">
        <v>731</v>
      </c>
      <c r="B1468">
        <v>685</v>
      </c>
      <c r="C1468" t="s">
        <v>3080</v>
      </c>
      <c r="D1468" t="s">
        <v>2541</v>
      </c>
      <c r="E1468" t="s">
        <v>155</v>
      </c>
      <c r="F1468" t="s">
        <v>3081</v>
      </c>
      <c r="G1468" t="str">
        <f>"201409006423"</f>
        <v>201409006423</v>
      </c>
      <c r="H1468" t="s">
        <v>221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50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X1468">
        <v>0</v>
      </c>
      <c r="Y1468">
        <v>0</v>
      </c>
      <c r="Z1468">
        <v>0</v>
      </c>
      <c r="AA1468">
        <v>0</v>
      </c>
      <c r="AB1468" t="s">
        <v>3082</v>
      </c>
    </row>
    <row r="1469" spans="1:28" x14ac:dyDescent="0.25">
      <c r="H1469" t="s">
        <v>3083</v>
      </c>
    </row>
    <row r="1470" spans="1:28" x14ac:dyDescent="0.25">
      <c r="A1470">
        <v>732</v>
      </c>
      <c r="B1470">
        <v>1905</v>
      </c>
      <c r="C1470" t="s">
        <v>3084</v>
      </c>
      <c r="D1470" t="s">
        <v>44</v>
      </c>
      <c r="E1470" t="s">
        <v>635</v>
      </c>
      <c r="F1470" t="s">
        <v>3085</v>
      </c>
      <c r="G1470" t="str">
        <f>"201504001232"</f>
        <v>201504001232</v>
      </c>
      <c r="H1470" t="s">
        <v>400</v>
      </c>
      <c r="I1470">
        <v>0</v>
      </c>
      <c r="J1470">
        <v>0</v>
      </c>
      <c r="K1470">
        <v>0</v>
      </c>
      <c r="L1470">
        <v>0</v>
      </c>
      <c r="M1470">
        <v>100</v>
      </c>
      <c r="N1470">
        <v>70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X1470">
        <v>0</v>
      </c>
      <c r="Y1470">
        <v>0</v>
      </c>
      <c r="Z1470">
        <v>0</v>
      </c>
      <c r="AA1470">
        <v>0</v>
      </c>
      <c r="AB1470" t="s">
        <v>3086</v>
      </c>
    </row>
    <row r="1471" spans="1:28" x14ac:dyDescent="0.25">
      <c r="H1471" t="s">
        <v>3087</v>
      </c>
    </row>
    <row r="1472" spans="1:28" x14ac:dyDescent="0.25">
      <c r="A1472">
        <v>733</v>
      </c>
      <c r="B1472">
        <v>2719</v>
      </c>
      <c r="C1472" t="s">
        <v>3088</v>
      </c>
      <c r="D1472" t="s">
        <v>19</v>
      </c>
      <c r="E1472" t="s">
        <v>15</v>
      </c>
      <c r="F1472" t="s">
        <v>3089</v>
      </c>
      <c r="G1472" t="str">
        <f>"201304003739"</f>
        <v>201304003739</v>
      </c>
      <c r="H1472" t="s">
        <v>1242</v>
      </c>
      <c r="I1472">
        <v>0</v>
      </c>
      <c r="J1472">
        <v>0</v>
      </c>
      <c r="K1472">
        <v>0</v>
      </c>
      <c r="L1472">
        <v>0</v>
      </c>
      <c r="M1472">
        <v>100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X1472">
        <v>0</v>
      </c>
      <c r="Y1472">
        <v>0</v>
      </c>
      <c r="Z1472">
        <v>0</v>
      </c>
      <c r="AA1472">
        <v>0</v>
      </c>
      <c r="AB1472" t="s">
        <v>3090</v>
      </c>
    </row>
    <row r="1473" spans="1:28" x14ac:dyDescent="0.25">
      <c r="H1473" t="s">
        <v>3091</v>
      </c>
    </row>
    <row r="1474" spans="1:28" x14ac:dyDescent="0.25">
      <c r="A1474">
        <v>734</v>
      </c>
      <c r="B1474">
        <v>512</v>
      </c>
      <c r="C1474" t="s">
        <v>3092</v>
      </c>
      <c r="D1474" t="s">
        <v>3093</v>
      </c>
      <c r="E1474" t="s">
        <v>311</v>
      </c>
      <c r="F1474" t="s">
        <v>3094</v>
      </c>
      <c r="G1474" t="str">
        <f>"00020068"</f>
        <v>00020068</v>
      </c>
      <c r="H1474" t="s">
        <v>1318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X1474">
        <v>0</v>
      </c>
      <c r="Y1474">
        <v>0</v>
      </c>
      <c r="Z1474">
        <v>0</v>
      </c>
      <c r="AA1474">
        <v>0</v>
      </c>
      <c r="AB1474" t="s">
        <v>3095</v>
      </c>
    </row>
    <row r="1475" spans="1:28" x14ac:dyDescent="0.25">
      <c r="H1475">
        <v>1009</v>
      </c>
    </row>
    <row r="1476" spans="1:28" x14ac:dyDescent="0.25">
      <c r="A1476">
        <v>735</v>
      </c>
      <c r="B1476">
        <v>953</v>
      </c>
      <c r="C1476" t="s">
        <v>3096</v>
      </c>
      <c r="D1476" t="s">
        <v>1309</v>
      </c>
      <c r="E1476" t="s">
        <v>230</v>
      </c>
      <c r="F1476" t="s">
        <v>3097</v>
      </c>
      <c r="G1476" t="str">
        <f>"201402006300"</f>
        <v>201402006300</v>
      </c>
      <c r="H1476" t="s">
        <v>1862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50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X1476">
        <v>0</v>
      </c>
      <c r="Y1476">
        <v>0</v>
      </c>
      <c r="Z1476">
        <v>3</v>
      </c>
      <c r="AA1476">
        <v>51</v>
      </c>
      <c r="AB1476" t="s">
        <v>3098</v>
      </c>
    </row>
    <row r="1477" spans="1:28" x14ac:dyDescent="0.25">
      <c r="H1477" t="s">
        <v>3099</v>
      </c>
    </row>
    <row r="1478" spans="1:28" x14ac:dyDescent="0.25">
      <c r="A1478">
        <v>736</v>
      </c>
      <c r="B1478">
        <v>2782</v>
      </c>
      <c r="C1478" t="s">
        <v>3100</v>
      </c>
      <c r="D1478" t="s">
        <v>183</v>
      </c>
      <c r="E1478" t="s">
        <v>14</v>
      </c>
      <c r="F1478" t="s">
        <v>3101</v>
      </c>
      <c r="G1478" t="str">
        <f>"201406010456"</f>
        <v>201406010456</v>
      </c>
      <c r="H1478" t="s">
        <v>568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50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X1478">
        <v>0</v>
      </c>
      <c r="Y1478">
        <v>0</v>
      </c>
      <c r="Z1478">
        <v>0</v>
      </c>
      <c r="AA1478">
        <v>0</v>
      </c>
      <c r="AB1478" t="s">
        <v>3102</v>
      </c>
    </row>
    <row r="1479" spans="1:28" x14ac:dyDescent="0.25">
      <c r="H1479" t="s">
        <v>3103</v>
      </c>
    </row>
    <row r="1480" spans="1:28" x14ac:dyDescent="0.25">
      <c r="A1480">
        <v>737</v>
      </c>
      <c r="B1480">
        <v>4878</v>
      </c>
      <c r="C1480" t="s">
        <v>3104</v>
      </c>
      <c r="D1480" t="s">
        <v>84</v>
      </c>
      <c r="E1480" t="s">
        <v>20</v>
      </c>
      <c r="F1480" t="s">
        <v>3105</v>
      </c>
      <c r="G1480" t="str">
        <f>"201406002062"</f>
        <v>201406002062</v>
      </c>
      <c r="H1480" t="s">
        <v>1676</v>
      </c>
      <c r="I1480">
        <v>0</v>
      </c>
      <c r="J1480">
        <v>0</v>
      </c>
      <c r="K1480">
        <v>0</v>
      </c>
      <c r="L1480">
        <v>0</v>
      </c>
      <c r="M1480">
        <v>100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X1480">
        <v>0</v>
      </c>
      <c r="Y1480">
        <v>0</v>
      </c>
      <c r="Z1480">
        <v>0</v>
      </c>
      <c r="AA1480">
        <v>0</v>
      </c>
      <c r="AB1480" t="s">
        <v>3106</v>
      </c>
    </row>
    <row r="1481" spans="1:28" x14ac:dyDescent="0.25">
      <c r="H1481" t="s">
        <v>3107</v>
      </c>
    </row>
    <row r="1482" spans="1:28" x14ac:dyDescent="0.25">
      <c r="A1482">
        <v>738</v>
      </c>
      <c r="B1482">
        <v>2867</v>
      </c>
      <c r="C1482" t="s">
        <v>3108</v>
      </c>
      <c r="D1482" t="s">
        <v>179</v>
      </c>
      <c r="E1482" t="s">
        <v>80</v>
      </c>
      <c r="F1482" t="s">
        <v>3109</v>
      </c>
      <c r="G1482" t="str">
        <f>"200802003153"</f>
        <v>200802003153</v>
      </c>
      <c r="H1482" t="s">
        <v>150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70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X1482">
        <v>0</v>
      </c>
      <c r="Y1482">
        <v>0</v>
      </c>
      <c r="Z1482">
        <v>0</v>
      </c>
      <c r="AA1482">
        <v>0</v>
      </c>
      <c r="AB1482" t="s">
        <v>3110</v>
      </c>
    </row>
    <row r="1483" spans="1:28" x14ac:dyDescent="0.25">
      <c r="H1483" t="s">
        <v>3111</v>
      </c>
    </row>
    <row r="1484" spans="1:28" x14ac:dyDescent="0.25">
      <c r="A1484">
        <v>739</v>
      </c>
      <c r="B1484">
        <v>4764</v>
      </c>
      <c r="C1484" t="s">
        <v>13</v>
      </c>
      <c r="D1484" t="s">
        <v>43</v>
      </c>
      <c r="E1484" t="s">
        <v>80</v>
      </c>
      <c r="F1484" t="s">
        <v>3112</v>
      </c>
      <c r="G1484" t="str">
        <f>"201506002702"</f>
        <v>201506002702</v>
      </c>
      <c r="H1484" t="s">
        <v>150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70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X1484">
        <v>0</v>
      </c>
      <c r="Y1484">
        <v>0</v>
      </c>
      <c r="Z1484">
        <v>0</v>
      </c>
      <c r="AA1484">
        <v>0</v>
      </c>
      <c r="AB1484" t="s">
        <v>3110</v>
      </c>
    </row>
    <row r="1485" spans="1:28" x14ac:dyDescent="0.25">
      <c r="H1485" t="s">
        <v>834</v>
      </c>
    </row>
    <row r="1486" spans="1:28" x14ac:dyDescent="0.25">
      <c r="A1486">
        <v>740</v>
      </c>
      <c r="B1486">
        <v>5034</v>
      </c>
      <c r="C1486" t="s">
        <v>3113</v>
      </c>
      <c r="D1486" t="s">
        <v>187</v>
      </c>
      <c r="E1486" t="s">
        <v>3114</v>
      </c>
      <c r="F1486" t="s">
        <v>3115</v>
      </c>
      <c r="G1486" t="str">
        <f>"00368935"</f>
        <v>00368935</v>
      </c>
      <c r="H1486" t="s">
        <v>1132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70</v>
      </c>
      <c r="O1486">
        <v>30</v>
      </c>
      <c r="P1486">
        <v>0</v>
      </c>
      <c r="Q1486">
        <v>0</v>
      </c>
      <c r="R1486">
        <v>0</v>
      </c>
      <c r="S1486">
        <v>0</v>
      </c>
      <c r="T1486">
        <v>70</v>
      </c>
      <c r="U1486">
        <v>0</v>
      </c>
      <c r="V1486">
        <v>0</v>
      </c>
      <c r="X1486">
        <v>0</v>
      </c>
      <c r="Y1486">
        <v>0</v>
      </c>
      <c r="Z1486">
        <v>0</v>
      </c>
      <c r="AA1486">
        <v>0</v>
      </c>
      <c r="AB1486" t="s">
        <v>3116</v>
      </c>
    </row>
    <row r="1487" spans="1:28" x14ac:dyDescent="0.25">
      <c r="H1487" t="s">
        <v>3117</v>
      </c>
    </row>
    <row r="1488" spans="1:28" x14ac:dyDescent="0.25">
      <c r="A1488">
        <v>741</v>
      </c>
      <c r="B1488">
        <v>4945</v>
      </c>
      <c r="C1488" t="s">
        <v>3118</v>
      </c>
      <c r="D1488" t="s">
        <v>179</v>
      </c>
      <c r="E1488" t="s">
        <v>14</v>
      </c>
      <c r="F1488" t="s">
        <v>3119</v>
      </c>
      <c r="G1488" t="str">
        <f>"00012097"</f>
        <v>00012097</v>
      </c>
      <c r="H1488" t="s">
        <v>3120</v>
      </c>
      <c r="I1488">
        <v>0</v>
      </c>
      <c r="J1488">
        <v>0</v>
      </c>
      <c r="K1488">
        <v>0</v>
      </c>
      <c r="L1488">
        <v>0</v>
      </c>
      <c r="M1488">
        <v>100</v>
      </c>
      <c r="N1488">
        <v>30</v>
      </c>
      <c r="O1488">
        <v>0</v>
      </c>
      <c r="P1488">
        <v>30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X1488">
        <v>0</v>
      </c>
      <c r="Y1488">
        <v>0</v>
      </c>
      <c r="Z1488">
        <v>0</v>
      </c>
      <c r="AA1488">
        <v>0</v>
      </c>
      <c r="AB1488" t="s">
        <v>3121</v>
      </c>
    </row>
    <row r="1489" spans="1:28" x14ac:dyDescent="0.25">
      <c r="H1489">
        <v>1009</v>
      </c>
    </row>
    <row r="1490" spans="1:28" x14ac:dyDescent="0.25">
      <c r="A1490">
        <v>742</v>
      </c>
      <c r="B1490">
        <v>4319</v>
      </c>
      <c r="C1490" t="s">
        <v>2559</v>
      </c>
      <c r="D1490" t="s">
        <v>480</v>
      </c>
      <c r="E1490" t="s">
        <v>3122</v>
      </c>
      <c r="F1490" t="s">
        <v>3123</v>
      </c>
      <c r="G1490" t="str">
        <f>"201304005858"</f>
        <v>201304005858</v>
      </c>
      <c r="H1490" t="s">
        <v>1384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30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X1490">
        <v>0</v>
      </c>
      <c r="Y1490">
        <v>0</v>
      </c>
      <c r="Z1490">
        <v>0</v>
      </c>
      <c r="AA1490">
        <v>0</v>
      </c>
      <c r="AB1490" t="s">
        <v>3124</v>
      </c>
    </row>
    <row r="1491" spans="1:28" x14ac:dyDescent="0.25">
      <c r="H1491" t="s">
        <v>3125</v>
      </c>
    </row>
    <row r="1492" spans="1:28" x14ac:dyDescent="0.25">
      <c r="A1492">
        <v>743</v>
      </c>
      <c r="B1492">
        <v>1460</v>
      </c>
      <c r="C1492" t="s">
        <v>3126</v>
      </c>
      <c r="D1492" t="s">
        <v>69</v>
      </c>
      <c r="E1492" t="s">
        <v>51</v>
      </c>
      <c r="F1492" t="s">
        <v>3127</v>
      </c>
      <c r="G1492" t="str">
        <f>"201405000634"</f>
        <v>201405000634</v>
      </c>
      <c r="H1492" t="s">
        <v>3128</v>
      </c>
      <c r="I1492">
        <v>0</v>
      </c>
      <c r="J1492">
        <v>0</v>
      </c>
      <c r="K1492">
        <v>0</v>
      </c>
      <c r="L1492">
        <v>200</v>
      </c>
      <c r="M1492">
        <v>0</v>
      </c>
      <c r="N1492">
        <v>70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X1492">
        <v>0</v>
      </c>
      <c r="Y1492">
        <v>0</v>
      </c>
      <c r="Z1492">
        <v>0</v>
      </c>
      <c r="AA1492">
        <v>0</v>
      </c>
      <c r="AB1492" t="s">
        <v>3129</v>
      </c>
    </row>
    <row r="1493" spans="1:28" x14ac:dyDescent="0.25">
      <c r="H1493" t="s">
        <v>739</v>
      </c>
    </row>
    <row r="1494" spans="1:28" x14ac:dyDescent="0.25">
      <c r="A1494">
        <v>744</v>
      </c>
      <c r="B1494">
        <v>2682</v>
      </c>
      <c r="C1494" t="s">
        <v>3130</v>
      </c>
      <c r="D1494" t="s">
        <v>3131</v>
      </c>
      <c r="E1494" t="s">
        <v>277</v>
      </c>
      <c r="F1494" t="s">
        <v>3132</v>
      </c>
      <c r="G1494" t="str">
        <f>"201406008036"</f>
        <v>201406008036</v>
      </c>
      <c r="H1494" t="s">
        <v>2296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X1494">
        <v>0</v>
      </c>
      <c r="Y1494">
        <v>0</v>
      </c>
      <c r="Z1494">
        <v>10</v>
      </c>
      <c r="AA1494">
        <v>170</v>
      </c>
      <c r="AB1494" t="s">
        <v>3133</v>
      </c>
    </row>
    <row r="1495" spans="1:28" x14ac:dyDescent="0.25">
      <c r="H1495" t="s">
        <v>3134</v>
      </c>
    </row>
    <row r="1496" spans="1:28" x14ac:dyDescent="0.25">
      <c r="A1496">
        <v>745</v>
      </c>
      <c r="B1496">
        <v>93</v>
      </c>
      <c r="C1496" t="s">
        <v>3135</v>
      </c>
      <c r="D1496" t="s">
        <v>14</v>
      </c>
      <c r="E1496" t="s">
        <v>155</v>
      </c>
      <c r="F1496" t="s">
        <v>3136</v>
      </c>
      <c r="G1496" t="str">
        <f>"00015342"</f>
        <v>00015342</v>
      </c>
      <c r="H1496" t="s">
        <v>1400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70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X1496">
        <v>0</v>
      </c>
      <c r="Y1496">
        <v>0</v>
      </c>
      <c r="Z1496">
        <v>0</v>
      </c>
      <c r="AA1496">
        <v>0</v>
      </c>
      <c r="AB1496" t="s">
        <v>3137</v>
      </c>
    </row>
    <row r="1497" spans="1:28" x14ac:dyDescent="0.25">
      <c r="H1497" t="s">
        <v>3138</v>
      </c>
    </row>
    <row r="1498" spans="1:28" x14ac:dyDescent="0.25">
      <c r="A1498">
        <v>746</v>
      </c>
      <c r="B1498">
        <v>4082</v>
      </c>
      <c r="C1498" t="s">
        <v>3139</v>
      </c>
      <c r="D1498" t="s">
        <v>3140</v>
      </c>
      <c r="E1498" t="s">
        <v>322</v>
      </c>
      <c r="F1498" t="s">
        <v>3141</v>
      </c>
      <c r="G1498" t="str">
        <f>"00367417"</f>
        <v>00367417</v>
      </c>
      <c r="H1498" t="s">
        <v>1400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70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X1498">
        <v>0</v>
      </c>
      <c r="Y1498">
        <v>0</v>
      </c>
      <c r="Z1498">
        <v>0</v>
      </c>
      <c r="AA1498">
        <v>0</v>
      </c>
      <c r="AB1498" t="s">
        <v>3137</v>
      </c>
    </row>
    <row r="1499" spans="1:28" x14ac:dyDescent="0.25">
      <c r="H1499" t="s">
        <v>3142</v>
      </c>
    </row>
    <row r="1500" spans="1:28" x14ac:dyDescent="0.25">
      <c r="A1500">
        <v>747</v>
      </c>
      <c r="B1500">
        <v>2443</v>
      </c>
      <c r="C1500" t="s">
        <v>3143</v>
      </c>
      <c r="D1500" t="s">
        <v>3144</v>
      </c>
      <c r="E1500" t="s">
        <v>39</v>
      </c>
      <c r="F1500" t="s">
        <v>3145</v>
      </c>
      <c r="G1500" t="str">
        <f>"201304005278"</f>
        <v>201304005278</v>
      </c>
      <c r="H1500" t="s">
        <v>100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30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X1500">
        <v>1</v>
      </c>
      <c r="Y1500">
        <v>0</v>
      </c>
      <c r="Z1500">
        <v>0</v>
      </c>
      <c r="AA1500">
        <v>0</v>
      </c>
      <c r="AB1500" t="s">
        <v>3146</v>
      </c>
    </row>
    <row r="1501" spans="1:28" x14ac:dyDescent="0.25">
      <c r="H1501" t="s">
        <v>917</v>
      </c>
    </row>
    <row r="1502" spans="1:28" x14ac:dyDescent="0.25">
      <c r="A1502">
        <v>748</v>
      </c>
      <c r="B1502">
        <v>2102</v>
      </c>
      <c r="C1502" t="s">
        <v>3147</v>
      </c>
      <c r="D1502" t="s">
        <v>3148</v>
      </c>
      <c r="E1502" t="s">
        <v>417</v>
      </c>
      <c r="F1502" t="s">
        <v>3149</v>
      </c>
      <c r="G1502" t="str">
        <f>"00122643"</f>
        <v>00122643</v>
      </c>
      <c r="H1502" t="s">
        <v>898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X1502">
        <v>0</v>
      </c>
      <c r="Y1502">
        <v>0</v>
      </c>
      <c r="Z1502">
        <v>0</v>
      </c>
      <c r="AA1502">
        <v>0</v>
      </c>
      <c r="AB1502" t="s">
        <v>3150</v>
      </c>
    </row>
    <row r="1503" spans="1:28" x14ac:dyDescent="0.25">
      <c r="H1503" t="s">
        <v>3151</v>
      </c>
    </row>
    <row r="1504" spans="1:28" x14ac:dyDescent="0.25">
      <c r="A1504">
        <v>749</v>
      </c>
      <c r="B1504">
        <v>633</v>
      </c>
      <c r="C1504" t="s">
        <v>3152</v>
      </c>
      <c r="D1504" t="s">
        <v>1045</v>
      </c>
      <c r="E1504" t="s">
        <v>247</v>
      </c>
      <c r="F1504" t="s">
        <v>3153</v>
      </c>
      <c r="G1504" t="str">
        <f>"00234104"</f>
        <v>00234104</v>
      </c>
      <c r="H1504" t="s">
        <v>898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70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X1504">
        <v>0</v>
      </c>
      <c r="Y1504">
        <v>0</v>
      </c>
      <c r="Z1504">
        <v>0</v>
      </c>
      <c r="AA1504">
        <v>0</v>
      </c>
      <c r="AB1504" t="s">
        <v>3150</v>
      </c>
    </row>
    <row r="1505" spans="1:28" x14ac:dyDescent="0.25">
      <c r="H1505" t="s">
        <v>3154</v>
      </c>
    </row>
    <row r="1506" spans="1:28" x14ac:dyDescent="0.25">
      <c r="A1506">
        <v>750</v>
      </c>
      <c r="B1506">
        <v>3295</v>
      </c>
      <c r="C1506" t="s">
        <v>3155</v>
      </c>
      <c r="D1506" t="s">
        <v>3156</v>
      </c>
      <c r="E1506" t="s">
        <v>3157</v>
      </c>
      <c r="F1506" t="s">
        <v>3158</v>
      </c>
      <c r="G1506" t="str">
        <f>"00310109"</f>
        <v>00310109</v>
      </c>
      <c r="H1506" t="s">
        <v>1224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30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X1506">
        <v>0</v>
      </c>
      <c r="Y1506">
        <v>0</v>
      </c>
      <c r="Z1506">
        <v>0</v>
      </c>
      <c r="AA1506">
        <v>0</v>
      </c>
      <c r="AB1506" t="s">
        <v>3159</v>
      </c>
    </row>
    <row r="1507" spans="1:28" x14ac:dyDescent="0.25">
      <c r="H1507" t="s">
        <v>3160</v>
      </c>
    </row>
    <row r="1508" spans="1:28" x14ac:dyDescent="0.25">
      <c r="A1508">
        <v>751</v>
      </c>
      <c r="B1508">
        <v>3546</v>
      </c>
      <c r="C1508" t="s">
        <v>3161</v>
      </c>
      <c r="D1508" t="s">
        <v>3162</v>
      </c>
      <c r="E1508" t="s">
        <v>80</v>
      </c>
      <c r="F1508" t="s">
        <v>3163</v>
      </c>
      <c r="G1508" t="str">
        <f>"201511011180"</f>
        <v>201511011180</v>
      </c>
      <c r="H1508" t="s">
        <v>851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X1508">
        <v>0</v>
      </c>
      <c r="Y1508">
        <v>0</v>
      </c>
      <c r="Z1508">
        <v>0</v>
      </c>
      <c r="AA1508">
        <v>0</v>
      </c>
      <c r="AB1508" t="s">
        <v>3164</v>
      </c>
    </row>
    <row r="1509" spans="1:28" x14ac:dyDescent="0.25">
      <c r="H1509">
        <v>1009</v>
      </c>
    </row>
    <row r="1510" spans="1:28" x14ac:dyDescent="0.25">
      <c r="A1510">
        <v>752</v>
      </c>
      <c r="B1510">
        <v>4956</v>
      </c>
      <c r="C1510" t="s">
        <v>3165</v>
      </c>
      <c r="D1510" t="s">
        <v>218</v>
      </c>
      <c r="E1510" t="s">
        <v>117</v>
      </c>
      <c r="F1510" t="s">
        <v>3166</v>
      </c>
      <c r="G1510" t="str">
        <f>"201406006735"</f>
        <v>201406006735</v>
      </c>
      <c r="H1510" t="s">
        <v>249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70</v>
      </c>
      <c r="O1510">
        <v>0</v>
      </c>
      <c r="P1510">
        <v>50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X1510">
        <v>0</v>
      </c>
      <c r="Y1510">
        <v>0</v>
      </c>
      <c r="Z1510">
        <v>0</v>
      </c>
      <c r="AA1510">
        <v>0</v>
      </c>
      <c r="AB1510" t="s">
        <v>3167</v>
      </c>
    </row>
    <row r="1511" spans="1:28" x14ac:dyDescent="0.25">
      <c r="H1511" t="s">
        <v>3168</v>
      </c>
    </row>
    <row r="1512" spans="1:28" x14ac:dyDescent="0.25">
      <c r="A1512">
        <v>753</v>
      </c>
      <c r="B1512">
        <v>4971</v>
      </c>
      <c r="C1512" t="s">
        <v>3169</v>
      </c>
      <c r="D1512" t="s">
        <v>138</v>
      </c>
      <c r="E1512" t="s">
        <v>840</v>
      </c>
      <c r="F1512" t="s">
        <v>3170</v>
      </c>
      <c r="G1512" t="str">
        <f>"00117061"</f>
        <v>00117061</v>
      </c>
      <c r="H1512" t="s">
        <v>3171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30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X1512">
        <v>0</v>
      </c>
      <c r="Y1512">
        <v>0</v>
      </c>
      <c r="Z1512">
        <v>10</v>
      </c>
      <c r="AA1512">
        <v>170</v>
      </c>
      <c r="AB1512" t="s">
        <v>3172</v>
      </c>
    </row>
    <row r="1513" spans="1:28" x14ac:dyDescent="0.25">
      <c r="H1513" t="s">
        <v>3173</v>
      </c>
    </row>
    <row r="1514" spans="1:28" x14ac:dyDescent="0.25">
      <c r="A1514">
        <v>754</v>
      </c>
      <c r="B1514">
        <v>3141</v>
      </c>
      <c r="C1514" t="s">
        <v>3174</v>
      </c>
      <c r="D1514" t="s">
        <v>51</v>
      </c>
      <c r="E1514" t="s">
        <v>430</v>
      </c>
      <c r="F1514" t="s">
        <v>3175</v>
      </c>
      <c r="G1514" t="str">
        <f>"00235960"</f>
        <v>00235960</v>
      </c>
      <c r="H1514" t="s">
        <v>842</v>
      </c>
      <c r="I1514">
        <v>150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X1514">
        <v>0</v>
      </c>
      <c r="Y1514">
        <v>0</v>
      </c>
      <c r="Z1514">
        <v>0</v>
      </c>
      <c r="AA1514">
        <v>0</v>
      </c>
      <c r="AB1514" t="s">
        <v>3176</v>
      </c>
    </row>
    <row r="1515" spans="1:28" x14ac:dyDescent="0.25">
      <c r="H1515" t="s">
        <v>3177</v>
      </c>
    </row>
    <row r="1516" spans="1:28" x14ac:dyDescent="0.25">
      <c r="A1516">
        <v>755</v>
      </c>
      <c r="B1516">
        <v>4523</v>
      </c>
      <c r="C1516" t="s">
        <v>3178</v>
      </c>
      <c r="D1516" t="s">
        <v>179</v>
      </c>
      <c r="E1516" t="s">
        <v>117</v>
      </c>
      <c r="F1516" t="s">
        <v>3179</v>
      </c>
      <c r="G1516" t="str">
        <f>"201506003698"</f>
        <v>201506003698</v>
      </c>
      <c r="H1516">
        <v>792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30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X1516">
        <v>0</v>
      </c>
      <c r="Y1516">
        <v>0</v>
      </c>
      <c r="Z1516">
        <v>0</v>
      </c>
      <c r="AA1516">
        <v>0</v>
      </c>
      <c r="AB1516">
        <v>852</v>
      </c>
    </row>
    <row r="1517" spans="1:28" x14ac:dyDescent="0.25">
      <c r="H1517" t="s">
        <v>3180</v>
      </c>
    </row>
    <row r="1518" spans="1:28" x14ac:dyDescent="0.25">
      <c r="A1518">
        <v>756</v>
      </c>
      <c r="B1518">
        <v>2828</v>
      </c>
      <c r="C1518" t="s">
        <v>3181</v>
      </c>
      <c r="D1518" t="s">
        <v>3182</v>
      </c>
      <c r="E1518" t="s">
        <v>14</v>
      </c>
      <c r="F1518" t="s">
        <v>3183</v>
      </c>
      <c r="G1518" t="str">
        <f>"00017607"</f>
        <v>00017607</v>
      </c>
      <c r="H1518">
        <v>737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X1518">
        <v>1</v>
      </c>
      <c r="Y1518">
        <v>0</v>
      </c>
      <c r="Z1518">
        <v>5</v>
      </c>
      <c r="AA1518">
        <v>85</v>
      </c>
      <c r="AB1518">
        <v>852</v>
      </c>
    </row>
    <row r="1519" spans="1:28" x14ac:dyDescent="0.25">
      <c r="H1519" t="s">
        <v>3184</v>
      </c>
    </row>
    <row r="1520" spans="1:28" x14ac:dyDescent="0.25">
      <c r="A1520">
        <v>757</v>
      </c>
      <c r="B1520">
        <v>87</v>
      </c>
      <c r="C1520" t="s">
        <v>3185</v>
      </c>
      <c r="D1520" t="s">
        <v>43</v>
      </c>
      <c r="E1520" t="s">
        <v>50</v>
      </c>
      <c r="F1520" t="s">
        <v>3186</v>
      </c>
      <c r="G1520" t="str">
        <f>"201211000005"</f>
        <v>201211000005</v>
      </c>
      <c r="H1520" t="s">
        <v>2296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30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X1520">
        <v>0</v>
      </c>
      <c r="Y1520">
        <v>0</v>
      </c>
      <c r="Z1520">
        <v>8</v>
      </c>
      <c r="AA1520">
        <v>136</v>
      </c>
      <c r="AB1520" t="s">
        <v>3187</v>
      </c>
    </row>
    <row r="1521" spans="1:28" x14ac:dyDescent="0.25">
      <c r="H1521" t="s">
        <v>3188</v>
      </c>
    </row>
    <row r="1522" spans="1:28" x14ac:dyDescent="0.25">
      <c r="A1522">
        <v>758</v>
      </c>
      <c r="B1522">
        <v>1970</v>
      </c>
      <c r="C1522" t="s">
        <v>3189</v>
      </c>
      <c r="D1522" t="s">
        <v>2471</v>
      </c>
      <c r="E1522" t="s">
        <v>2578</v>
      </c>
      <c r="F1522" t="s">
        <v>3190</v>
      </c>
      <c r="G1522" t="str">
        <f>"201410009929"</f>
        <v>201410009929</v>
      </c>
      <c r="H1522" t="s">
        <v>169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30</v>
      </c>
      <c r="R1522">
        <v>0</v>
      </c>
      <c r="S1522">
        <v>0</v>
      </c>
      <c r="T1522">
        <v>0</v>
      </c>
      <c r="U1522">
        <v>0</v>
      </c>
      <c r="V1522">
        <v>0</v>
      </c>
      <c r="X1522">
        <v>0</v>
      </c>
      <c r="Y1522">
        <v>0</v>
      </c>
      <c r="Z1522">
        <v>0</v>
      </c>
      <c r="AA1522">
        <v>0</v>
      </c>
      <c r="AB1522" t="s">
        <v>3191</v>
      </c>
    </row>
    <row r="1523" spans="1:28" x14ac:dyDescent="0.25">
      <c r="H1523" t="s">
        <v>3192</v>
      </c>
    </row>
    <row r="1524" spans="1:28" x14ac:dyDescent="0.25">
      <c r="A1524">
        <v>759</v>
      </c>
      <c r="B1524">
        <v>2954</v>
      </c>
      <c r="C1524" t="s">
        <v>3193</v>
      </c>
      <c r="D1524" t="s">
        <v>212</v>
      </c>
      <c r="E1524" t="s">
        <v>194</v>
      </c>
      <c r="F1524" t="s">
        <v>3194</v>
      </c>
      <c r="G1524" t="str">
        <f>"00236938"</f>
        <v>00236938</v>
      </c>
      <c r="H1524">
        <v>770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50</v>
      </c>
      <c r="O1524">
        <v>0</v>
      </c>
      <c r="P1524">
        <v>30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X1524">
        <v>0</v>
      </c>
      <c r="Y1524">
        <v>0</v>
      </c>
      <c r="Z1524">
        <v>0</v>
      </c>
      <c r="AA1524">
        <v>0</v>
      </c>
      <c r="AB1524">
        <v>850</v>
      </c>
    </row>
    <row r="1525" spans="1:28" x14ac:dyDescent="0.25">
      <c r="H1525" t="s">
        <v>3195</v>
      </c>
    </row>
    <row r="1526" spans="1:28" x14ac:dyDescent="0.25">
      <c r="A1526">
        <v>760</v>
      </c>
      <c r="B1526">
        <v>2883</v>
      </c>
      <c r="C1526" t="s">
        <v>441</v>
      </c>
      <c r="D1526" t="s">
        <v>1148</v>
      </c>
      <c r="E1526" t="s">
        <v>247</v>
      </c>
      <c r="F1526" t="s">
        <v>3196</v>
      </c>
      <c r="G1526" t="str">
        <f>"00236094"</f>
        <v>00236094</v>
      </c>
      <c r="H1526">
        <v>550</v>
      </c>
      <c r="I1526">
        <v>0</v>
      </c>
      <c r="J1526">
        <v>0</v>
      </c>
      <c r="K1526">
        <v>0</v>
      </c>
      <c r="L1526">
        <v>200</v>
      </c>
      <c r="M1526">
        <v>30</v>
      </c>
      <c r="N1526">
        <v>70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X1526">
        <v>0</v>
      </c>
      <c r="Y1526">
        <v>0</v>
      </c>
      <c r="Z1526">
        <v>0</v>
      </c>
      <c r="AA1526">
        <v>0</v>
      </c>
      <c r="AB1526">
        <v>850</v>
      </c>
    </row>
    <row r="1527" spans="1:28" x14ac:dyDescent="0.25">
      <c r="H1527" t="s">
        <v>3197</v>
      </c>
    </row>
    <row r="1528" spans="1:28" x14ac:dyDescent="0.25">
      <c r="A1528">
        <v>761</v>
      </c>
      <c r="B1528">
        <v>2301</v>
      </c>
      <c r="C1528" t="s">
        <v>3198</v>
      </c>
      <c r="D1528" t="s">
        <v>1017</v>
      </c>
      <c r="E1528" t="s">
        <v>161</v>
      </c>
      <c r="F1528" t="s">
        <v>3199</v>
      </c>
      <c r="G1528" t="str">
        <f>"00215360"</f>
        <v>00215360</v>
      </c>
      <c r="H1528" t="s">
        <v>175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70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X1528">
        <v>0</v>
      </c>
      <c r="Y1528">
        <v>0</v>
      </c>
      <c r="Z1528">
        <v>0</v>
      </c>
      <c r="AA1528">
        <v>0</v>
      </c>
      <c r="AB1528" t="s">
        <v>3200</v>
      </c>
    </row>
    <row r="1529" spans="1:28" x14ac:dyDescent="0.25">
      <c r="H1529" t="s">
        <v>3201</v>
      </c>
    </row>
    <row r="1530" spans="1:28" x14ac:dyDescent="0.25">
      <c r="A1530">
        <v>762</v>
      </c>
      <c r="B1530">
        <v>2478</v>
      </c>
      <c r="C1530" t="s">
        <v>3202</v>
      </c>
      <c r="D1530" t="s">
        <v>1006</v>
      </c>
      <c r="E1530" t="s">
        <v>3203</v>
      </c>
      <c r="F1530" t="s">
        <v>3204</v>
      </c>
      <c r="G1530" t="str">
        <f>"00329388"</f>
        <v>00329388</v>
      </c>
      <c r="H1530" t="s">
        <v>798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30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X1530">
        <v>0</v>
      </c>
      <c r="Y1530">
        <v>0</v>
      </c>
      <c r="Z1530">
        <v>0</v>
      </c>
      <c r="AA1530">
        <v>0</v>
      </c>
      <c r="AB1530" t="s">
        <v>3205</v>
      </c>
    </row>
    <row r="1531" spans="1:28" x14ac:dyDescent="0.25">
      <c r="H1531" t="s">
        <v>3206</v>
      </c>
    </row>
    <row r="1532" spans="1:28" x14ac:dyDescent="0.25">
      <c r="A1532">
        <v>763</v>
      </c>
      <c r="B1532">
        <v>3401</v>
      </c>
      <c r="C1532" t="s">
        <v>3207</v>
      </c>
      <c r="D1532" t="s">
        <v>187</v>
      </c>
      <c r="E1532" t="s">
        <v>2835</v>
      </c>
      <c r="F1532" t="s">
        <v>3208</v>
      </c>
      <c r="G1532" t="str">
        <f>"00209696"</f>
        <v>00209696</v>
      </c>
      <c r="H1532" t="s">
        <v>1511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50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X1532">
        <v>0</v>
      </c>
      <c r="Y1532">
        <v>0</v>
      </c>
      <c r="Z1532">
        <v>0</v>
      </c>
      <c r="AA1532">
        <v>0</v>
      </c>
      <c r="AB1532" t="s">
        <v>3209</v>
      </c>
    </row>
    <row r="1533" spans="1:28" x14ac:dyDescent="0.25">
      <c r="H1533" t="s">
        <v>3210</v>
      </c>
    </row>
    <row r="1534" spans="1:28" x14ac:dyDescent="0.25">
      <c r="A1534">
        <v>764</v>
      </c>
      <c r="B1534">
        <v>2497</v>
      </c>
      <c r="C1534" t="s">
        <v>3211</v>
      </c>
      <c r="D1534" t="s">
        <v>26</v>
      </c>
      <c r="E1534" t="s">
        <v>80</v>
      </c>
      <c r="F1534" t="s">
        <v>3212</v>
      </c>
      <c r="G1534" t="str">
        <f>"00209593"</f>
        <v>00209593</v>
      </c>
      <c r="H1534" t="s">
        <v>1965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70</v>
      </c>
      <c r="O1534">
        <v>0</v>
      </c>
      <c r="P1534">
        <v>30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X1534">
        <v>0</v>
      </c>
      <c r="Y1534">
        <v>0</v>
      </c>
      <c r="Z1534">
        <v>0</v>
      </c>
      <c r="AA1534">
        <v>0</v>
      </c>
      <c r="AB1534" t="s">
        <v>3213</v>
      </c>
    </row>
    <row r="1535" spans="1:28" x14ac:dyDescent="0.25">
      <c r="H1535" t="s">
        <v>3214</v>
      </c>
    </row>
    <row r="1536" spans="1:28" x14ac:dyDescent="0.25">
      <c r="A1536">
        <v>765</v>
      </c>
      <c r="B1536">
        <v>871</v>
      </c>
      <c r="C1536" t="s">
        <v>3215</v>
      </c>
      <c r="D1536" t="s">
        <v>14</v>
      </c>
      <c r="E1536" t="s">
        <v>840</v>
      </c>
      <c r="F1536" t="s">
        <v>3216</v>
      </c>
      <c r="G1536" t="str">
        <f>"00192759"</f>
        <v>00192759</v>
      </c>
      <c r="H1536" t="s">
        <v>809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X1536">
        <v>0</v>
      </c>
      <c r="Y1536">
        <v>0</v>
      </c>
      <c r="Z1536">
        <v>0</v>
      </c>
      <c r="AA1536">
        <v>0</v>
      </c>
      <c r="AB1536" t="s">
        <v>3217</v>
      </c>
    </row>
    <row r="1537" spans="1:28" x14ac:dyDescent="0.25">
      <c r="H1537" t="s">
        <v>3218</v>
      </c>
    </row>
    <row r="1538" spans="1:28" x14ac:dyDescent="0.25">
      <c r="A1538">
        <v>766</v>
      </c>
      <c r="B1538">
        <v>819</v>
      </c>
      <c r="C1538" t="s">
        <v>3219</v>
      </c>
      <c r="D1538" t="s">
        <v>2064</v>
      </c>
      <c r="E1538" t="s">
        <v>155</v>
      </c>
      <c r="F1538" t="s">
        <v>3220</v>
      </c>
      <c r="G1538" t="str">
        <f>"201506001716"</f>
        <v>201506001716</v>
      </c>
      <c r="H1538" t="s">
        <v>157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X1538">
        <v>0</v>
      </c>
      <c r="Y1538">
        <v>0</v>
      </c>
      <c r="Z1538">
        <v>0</v>
      </c>
      <c r="AA1538">
        <v>0</v>
      </c>
      <c r="AB1538" t="s">
        <v>3221</v>
      </c>
    </row>
    <row r="1539" spans="1:28" x14ac:dyDescent="0.25">
      <c r="H1539" t="s">
        <v>3222</v>
      </c>
    </row>
    <row r="1540" spans="1:28" x14ac:dyDescent="0.25">
      <c r="A1540">
        <v>767</v>
      </c>
      <c r="B1540">
        <v>607</v>
      </c>
      <c r="C1540" t="s">
        <v>3223</v>
      </c>
      <c r="D1540" t="s">
        <v>306</v>
      </c>
      <c r="E1540" t="s">
        <v>44</v>
      </c>
      <c r="F1540" t="s">
        <v>3224</v>
      </c>
      <c r="G1540" t="str">
        <f>"200712004357"</f>
        <v>200712004357</v>
      </c>
      <c r="H1540" t="s">
        <v>140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50</v>
      </c>
      <c r="O1540">
        <v>0</v>
      </c>
      <c r="P1540">
        <v>0</v>
      </c>
      <c r="Q1540">
        <v>0</v>
      </c>
      <c r="R1540">
        <v>30</v>
      </c>
      <c r="S1540">
        <v>0</v>
      </c>
      <c r="T1540">
        <v>0</v>
      </c>
      <c r="U1540">
        <v>0</v>
      </c>
      <c r="V1540">
        <v>0</v>
      </c>
      <c r="X1540">
        <v>0</v>
      </c>
      <c r="Y1540">
        <v>0</v>
      </c>
      <c r="Z1540">
        <v>0</v>
      </c>
      <c r="AA1540">
        <v>0</v>
      </c>
      <c r="AB1540" t="s">
        <v>3225</v>
      </c>
    </row>
    <row r="1541" spans="1:28" x14ac:dyDescent="0.25">
      <c r="H1541" t="s">
        <v>3226</v>
      </c>
    </row>
    <row r="1542" spans="1:28" x14ac:dyDescent="0.25">
      <c r="A1542">
        <v>768</v>
      </c>
      <c r="B1542">
        <v>2557</v>
      </c>
      <c r="C1542" t="s">
        <v>3227</v>
      </c>
      <c r="D1542" t="s">
        <v>80</v>
      </c>
      <c r="E1542" t="s">
        <v>3228</v>
      </c>
      <c r="F1542" t="s">
        <v>3229</v>
      </c>
      <c r="G1542" t="str">
        <f>"00241270"</f>
        <v>00241270</v>
      </c>
      <c r="H1542">
        <v>649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30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X1542">
        <v>0</v>
      </c>
      <c r="Y1542">
        <v>0</v>
      </c>
      <c r="Z1542">
        <v>8</v>
      </c>
      <c r="AA1542">
        <v>136</v>
      </c>
      <c r="AB1542">
        <v>845</v>
      </c>
    </row>
    <row r="1543" spans="1:28" x14ac:dyDescent="0.25">
      <c r="H1543">
        <v>1009</v>
      </c>
    </row>
    <row r="1544" spans="1:28" x14ac:dyDescent="0.25">
      <c r="A1544">
        <v>769</v>
      </c>
      <c r="B1544">
        <v>4157</v>
      </c>
      <c r="C1544" t="s">
        <v>3230</v>
      </c>
      <c r="D1544" t="s">
        <v>80</v>
      </c>
      <c r="E1544" t="s">
        <v>277</v>
      </c>
      <c r="F1544" t="s">
        <v>3231</v>
      </c>
      <c r="G1544" t="str">
        <f>"00250369"</f>
        <v>00250369</v>
      </c>
      <c r="H1544" t="s">
        <v>712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30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X1544">
        <v>0</v>
      </c>
      <c r="Y1544">
        <v>0</v>
      </c>
      <c r="Z1544">
        <v>0</v>
      </c>
      <c r="AA1544">
        <v>0</v>
      </c>
      <c r="AB1544" t="s">
        <v>3232</v>
      </c>
    </row>
    <row r="1545" spans="1:28" x14ac:dyDescent="0.25">
      <c r="H1545" t="s">
        <v>3233</v>
      </c>
    </row>
    <row r="1546" spans="1:28" x14ac:dyDescent="0.25">
      <c r="A1546">
        <v>770</v>
      </c>
      <c r="B1546">
        <v>5200</v>
      </c>
      <c r="C1546" t="s">
        <v>3234</v>
      </c>
      <c r="D1546" t="s">
        <v>20</v>
      </c>
      <c r="E1546" t="s">
        <v>80</v>
      </c>
      <c r="F1546" t="s">
        <v>3235</v>
      </c>
      <c r="G1546" t="str">
        <f>"201402008129"</f>
        <v>201402008129</v>
      </c>
      <c r="H1546" t="s">
        <v>977</v>
      </c>
      <c r="I1546">
        <v>0</v>
      </c>
      <c r="J1546">
        <v>0</v>
      </c>
      <c r="K1546">
        <v>0</v>
      </c>
      <c r="L1546">
        <v>0</v>
      </c>
      <c r="M1546">
        <v>100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X1546">
        <v>0</v>
      </c>
      <c r="Y1546">
        <v>0</v>
      </c>
      <c r="Z1546">
        <v>0</v>
      </c>
      <c r="AA1546">
        <v>0</v>
      </c>
      <c r="AB1546" t="s">
        <v>3236</v>
      </c>
    </row>
    <row r="1547" spans="1:28" x14ac:dyDescent="0.25">
      <c r="H1547" t="s">
        <v>3237</v>
      </c>
    </row>
    <row r="1548" spans="1:28" x14ac:dyDescent="0.25">
      <c r="A1548">
        <v>771</v>
      </c>
      <c r="B1548">
        <v>2607</v>
      </c>
      <c r="C1548" t="s">
        <v>3238</v>
      </c>
      <c r="D1548" t="s">
        <v>333</v>
      </c>
      <c r="E1548" t="s">
        <v>51</v>
      </c>
      <c r="F1548" t="s">
        <v>3239</v>
      </c>
      <c r="G1548" t="str">
        <f>"00036802"</f>
        <v>00036802</v>
      </c>
      <c r="H1548" t="s">
        <v>1554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30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X1548">
        <v>0</v>
      </c>
      <c r="Y1548">
        <v>0</v>
      </c>
      <c r="Z1548">
        <v>3</v>
      </c>
      <c r="AA1548">
        <v>51</v>
      </c>
      <c r="AB1548" t="s">
        <v>3240</v>
      </c>
    </row>
    <row r="1549" spans="1:28" x14ac:dyDescent="0.25">
      <c r="H1549">
        <v>1009</v>
      </c>
    </row>
    <row r="1550" spans="1:28" x14ac:dyDescent="0.25">
      <c r="A1550">
        <v>772</v>
      </c>
      <c r="B1550">
        <v>2242</v>
      </c>
      <c r="C1550" t="s">
        <v>3241</v>
      </c>
      <c r="D1550" t="s">
        <v>187</v>
      </c>
      <c r="E1550" t="s">
        <v>155</v>
      </c>
      <c r="F1550" t="s">
        <v>3242</v>
      </c>
      <c r="G1550" t="str">
        <f>"201102000737"</f>
        <v>201102000737</v>
      </c>
      <c r="H1550" t="s">
        <v>912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30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X1550">
        <v>0</v>
      </c>
      <c r="Y1550">
        <v>0</v>
      </c>
      <c r="Z1550">
        <v>0</v>
      </c>
      <c r="AA1550">
        <v>0</v>
      </c>
      <c r="AB1550" t="s">
        <v>3243</v>
      </c>
    </row>
    <row r="1551" spans="1:28" x14ac:dyDescent="0.25">
      <c r="H1551">
        <v>1009</v>
      </c>
    </row>
    <row r="1552" spans="1:28" x14ac:dyDescent="0.25">
      <c r="A1552">
        <v>773</v>
      </c>
      <c r="B1552">
        <v>3393</v>
      </c>
      <c r="C1552" t="s">
        <v>3244</v>
      </c>
      <c r="D1552" t="s">
        <v>2541</v>
      </c>
      <c r="E1552" t="s">
        <v>50</v>
      </c>
      <c r="F1552" t="s">
        <v>3245</v>
      </c>
      <c r="G1552" t="str">
        <f>"00128692"</f>
        <v>00128692</v>
      </c>
      <c r="H1552" t="s">
        <v>912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X1552">
        <v>1</v>
      </c>
      <c r="Y1552">
        <v>0</v>
      </c>
      <c r="Z1552">
        <v>0</v>
      </c>
      <c r="AA1552">
        <v>0</v>
      </c>
      <c r="AB1552" t="s">
        <v>3243</v>
      </c>
    </row>
    <row r="1553" spans="1:28" x14ac:dyDescent="0.25">
      <c r="H1553">
        <v>1009</v>
      </c>
    </row>
    <row r="1554" spans="1:28" x14ac:dyDescent="0.25">
      <c r="A1554">
        <v>774</v>
      </c>
      <c r="B1554">
        <v>3536</v>
      </c>
      <c r="C1554" t="s">
        <v>3246</v>
      </c>
      <c r="D1554" t="s">
        <v>3247</v>
      </c>
      <c r="E1554" t="s">
        <v>80</v>
      </c>
      <c r="F1554" t="s">
        <v>3248</v>
      </c>
      <c r="G1554" t="str">
        <f>"00115422"</f>
        <v>00115422</v>
      </c>
      <c r="H1554" t="s">
        <v>389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30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X1554">
        <v>0</v>
      </c>
      <c r="Y1554">
        <v>0</v>
      </c>
      <c r="Z1554">
        <v>8</v>
      </c>
      <c r="AA1554">
        <v>136</v>
      </c>
      <c r="AB1554" t="s">
        <v>3249</v>
      </c>
    </row>
    <row r="1555" spans="1:28" x14ac:dyDescent="0.25">
      <c r="H1555">
        <v>1009</v>
      </c>
    </row>
    <row r="1556" spans="1:28" x14ac:dyDescent="0.25">
      <c r="A1556">
        <v>775</v>
      </c>
      <c r="B1556">
        <v>2798</v>
      </c>
      <c r="C1556" t="s">
        <v>3250</v>
      </c>
      <c r="D1556" t="s">
        <v>854</v>
      </c>
      <c r="E1556" t="s">
        <v>51</v>
      </c>
      <c r="F1556" t="s">
        <v>3251</v>
      </c>
      <c r="G1556" t="str">
        <f>"200805001240"</f>
        <v>200805001240</v>
      </c>
      <c r="H1556" t="s">
        <v>145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50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X1556">
        <v>0</v>
      </c>
      <c r="Y1556">
        <v>0</v>
      </c>
      <c r="Z1556">
        <v>0</v>
      </c>
      <c r="AA1556">
        <v>0</v>
      </c>
      <c r="AB1556" t="s">
        <v>3252</v>
      </c>
    </row>
    <row r="1557" spans="1:28" x14ac:dyDescent="0.25">
      <c r="H1557" t="s">
        <v>3253</v>
      </c>
    </row>
    <row r="1558" spans="1:28" x14ac:dyDescent="0.25">
      <c r="A1558">
        <v>776</v>
      </c>
      <c r="B1558">
        <v>2886</v>
      </c>
      <c r="C1558" t="s">
        <v>3254</v>
      </c>
      <c r="D1558" t="s">
        <v>3255</v>
      </c>
      <c r="E1558" t="s">
        <v>117</v>
      </c>
      <c r="F1558" t="s">
        <v>3256</v>
      </c>
      <c r="G1558" t="str">
        <f>"00121767"</f>
        <v>00121767</v>
      </c>
      <c r="H1558">
        <v>770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70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X1558">
        <v>0</v>
      </c>
      <c r="Y1558">
        <v>0</v>
      </c>
      <c r="Z1558">
        <v>0</v>
      </c>
      <c r="AA1558">
        <v>0</v>
      </c>
      <c r="AB1558">
        <v>840</v>
      </c>
    </row>
    <row r="1559" spans="1:28" x14ac:dyDescent="0.25">
      <c r="H1559" t="s">
        <v>3257</v>
      </c>
    </row>
    <row r="1560" spans="1:28" x14ac:dyDescent="0.25">
      <c r="A1560">
        <v>777</v>
      </c>
      <c r="B1560">
        <v>3150</v>
      </c>
      <c r="C1560" t="s">
        <v>3258</v>
      </c>
      <c r="D1560" t="s">
        <v>488</v>
      </c>
      <c r="E1560" t="s">
        <v>1154</v>
      </c>
      <c r="F1560" t="s">
        <v>3259</v>
      </c>
      <c r="G1560" t="str">
        <f>"201004000136"</f>
        <v>201004000136</v>
      </c>
      <c r="H1560" t="s">
        <v>460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X1560">
        <v>0</v>
      </c>
      <c r="Y1560">
        <v>0</v>
      </c>
      <c r="Z1560">
        <v>0</v>
      </c>
      <c r="AA1560">
        <v>0</v>
      </c>
      <c r="AB1560" t="s">
        <v>3260</v>
      </c>
    </row>
    <row r="1561" spans="1:28" x14ac:dyDescent="0.25">
      <c r="H1561" t="s">
        <v>3261</v>
      </c>
    </row>
    <row r="1562" spans="1:28" x14ac:dyDescent="0.25">
      <c r="A1562">
        <v>778</v>
      </c>
      <c r="B1562">
        <v>4733</v>
      </c>
      <c r="C1562" t="s">
        <v>3262</v>
      </c>
      <c r="D1562" t="s">
        <v>187</v>
      </c>
      <c r="E1562" t="s">
        <v>51</v>
      </c>
      <c r="F1562" t="s">
        <v>3263</v>
      </c>
      <c r="G1562" t="str">
        <f>"00089573"</f>
        <v>00089573</v>
      </c>
      <c r="H1562" t="s">
        <v>377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70</v>
      </c>
      <c r="O1562">
        <v>70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X1562">
        <v>1</v>
      </c>
      <c r="Y1562">
        <v>0</v>
      </c>
      <c r="Z1562">
        <v>0</v>
      </c>
      <c r="AA1562">
        <v>0</v>
      </c>
      <c r="AB1562" t="s">
        <v>3260</v>
      </c>
    </row>
    <row r="1563" spans="1:28" x14ac:dyDescent="0.25">
      <c r="H1563" t="s">
        <v>1478</v>
      </c>
    </row>
    <row r="1564" spans="1:28" x14ac:dyDescent="0.25">
      <c r="A1564">
        <v>779</v>
      </c>
      <c r="B1564">
        <v>74</v>
      </c>
      <c r="C1564" t="s">
        <v>3264</v>
      </c>
      <c r="D1564" t="s">
        <v>265</v>
      </c>
      <c r="E1564" t="s">
        <v>134</v>
      </c>
      <c r="F1564" t="s">
        <v>3265</v>
      </c>
      <c r="G1564" t="str">
        <f>"201506000351"</f>
        <v>201506000351</v>
      </c>
      <c r="H1564" t="s">
        <v>1762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70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X1564">
        <v>0</v>
      </c>
      <c r="Y1564">
        <v>0</v>
      </c>
      <c r="Z1564">
        <v>0</v>
      </c>
      <c r="AA1564">
        <v>0</v>
      </c>
      <c r="AB1564" t="s">
        <v>3266</v>
      </c>
    </row>
    <row r="1565" spans="1:28" x14ac:dyDescent="0.25">
      <c r="H1565" t="s">
        <v>3267</v>
      </c>
    </row>
    <row r="1566" spans="1:28" x14ac:dyDescent="0.25">
      <c r="A1566">
        <v>780</v>
      </c>
      <c r="B1566">
        <v>2894</v>
      </c>
      <c r="C1566" t="s">
        <v>3268</v>
      </c>
      <c r="D1566" t="s">
        <v>423</v>
      </c>
      <c r="E1566" t="s">
        <v>44</v>
      </c>
      <c r="F1566" t="s">
        <v>3269</v>
      </c>
      <c r="G1566" t="str">
        <f>"00340531"</f>
        <v>00340531</v>
      </c>
      <c r="H1566" t="s">
        <v>1051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X1566">
        <v>0</v>
      </c>
      <c r="Y1566">
        <v>0</v>
      </c>
      <c r="Z1566">
        <v>0</v>
      </c>
      <c r="AA1566">
        <v>0</v>
      </c>
      <c r="AB1566" t="s">
        <v>3270</v>
      </c>
    </row>
    <row r="1567" spans="1:28" x14ac:dyDescent="0.25">
      <c r="H1567">
        <v>1009</v>
      </c>
    </row>
    <row r="1568" spans="1:28" x14ac:dyDescent="0.25">
      <c r="A1568">
        <v>781</v>
      </c>
      <c r="B1568">
        <v>3404</v>
      </c>
      <c r="C1568" t="s">
        <v>3271</v>
      </c>
      <c r="D1568" t="s">
        <v>3272</v>
      </c>
      <c r="E1568" t="s">
        <v>80</v>
      </c>
      <c r="F1568" t="s">
        <v>3273</v>
      </c>
      <c r="G1568" t="str">
        <f>"00334822"</f>
        <v>00334822</v>
      </c>
      <c r="H1568" t="s">
        <v>981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30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X1568">
        <v>0</v>
      </c>
      <c r="Y1568">
        <v>0</v>
      </c>
      <c r="Z1568">
        <v>0</v>
      </c>
      <c r="AA1568">
        <v>0</v>
      </c>
      <c r="AB1568" t="s">
        <v>3274</v>
      </c>
    </row>
    <row r="1569" spans="1:28" x14ac:dyDescent="0.25">
      <c r="H1569" t="s">
        <v>3275</v>
      </c>
    </row>
    <row r="1570" spans="1:28" x14ac:dyDescent="0.25">
      <c r="A1570">
        <v>782</v>
      </c>
      <c r="B1570">
        <v>2524</v>
      </c>
      <c r="C1570" t="s">
        <v>3276</v>
      </c>
      <c r="D1570" t="s">
        <v>104</v>
      </c>
      <c r="E1570" t="s">
        <v>405</v>
      </c>
      <c r="F1570" t="s">
        <v>3277</v>
      </c>
      <c r="G1570" t="str">
        <f>"201511017143"</f>
        <v>201511017143</v>
      </c>
      <c r="H1570" t="s">
        <v>981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X1570">
        <v>1</v>
      </c>
      <c r="Y1570">
        <v>0</v>
      </c>
      <c r="Z1570">
        <v>0</v>
      </c>
      <c r="AA1570">
        <v>0</v>
      </c>
      <c r="AB1570" t="s">
        <v>3274</v>
      </c>
    </row>
    <row r="1571" spans="1:28" x14ac:dyDescent="0.25">
      <c r="H1571" t="s">
        <v>3278</v>
      </c>
    </row>
    <row r="1572" spans="1:28" x14ac:dyDescent="0.25">
      <c r="A1572">
        <v>783</v>
      </c>
      <c r="B1572">
        <v>2888</v>
      </c>
      <c r="C1572" t="s">
        <v>3279</v>
      </c>
      <c r="D1572" t="s">
        <v>306</v>
      </c>
      <c r="E1572" t="s">
        <v>3280</v>
      </c>
      <c r="F1572" t="s">
        <v>3281</v>
      </c>
      <c r="G1572" t="str">
        <f>"201304004305"</f>
        <v>201304004305</v>
      </c>
      <c r="H1572" t="s">
        <v>3282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70</v>
      </c>
      <c r="O1572">
        <v>0</v>
      </c>
      <c r="P1572">
        <v>50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X1572">
        <v>0</v>
      </c>
      <c r="Y1572">
        <v>0</v>
      </c>
      <c r="Z1572">
        <v>0</v>
      </c>
      <c r="AA1572">
        <v>0</v>
      </c>
      <c r="AB1572" t="s">
        <v>3283</v>
      </c>
    </row>
    <row r="1573" spans="1:28" x14ac:dyDescent="0.25">
      <c r="H1573" t="s">
        <v>3284</v>
      </c>
    </row>
    <row r="1574" spans="1:28" x14ac:dyDescent="0.25">
      <c r="A1574">
        <v>784</v>
      </c>
      <c r="B1574">
        <v>4727</v>
      </c>
      <c r="C1574" t="s">
        <v>3285</v>
      </c>
      <c r="D1574" t="s">
        <v>488</v>
      </c>
      <c r="E1574" t="s">
        <v>50</v>
      </c>
      <c r="F1574" t="s">
        <v>3286</v>
      </c>
      <c r="G1574" t="str">
        <f>"201406004702"</f>
        <v>201406004702</v>
      </c>
      <c r="H1574" t="s">
        <v>140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70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X1574">
        <v>0</v>
      </c>
      <c r="Y1574">
        <v>0</v>
      </c>
      <c r="Z1574">
        <v>0</v>
      </c>
      <c r="AA1574">
        <v>0</v>
      </c>
      <c r="AB1574" t="s">
        <v>3287</v>
      </c>
    </row>
    <row r="1575" spans="1:28" x14ac:dyDescent="0.25">
      <c r="H1575" t="s">
        <v>136</v>
      </c>
    </row>
    <row r="1576" spans="1:28" x14ac:dyDescent="0.25">
      <c r="A1576">
        <v>785</v>
      </c>
      <c r="B1576">
        <v>4522</v>
      </c>
      <c r="C1576" t="s">
        <v>3288</v>
      </c>
      <c r="D1576" t="s">
        <v>333</v>
      </c>
      <c r="E1576" t="s">
        <v>2076</v>
      </c>
      <c r="F1576" t="s">
        <v>3289</v>
      </c>
      <c r="G1576" t="str">
        <f>"201406013915"</f>
        <v>201406013915</v>
      </c>
      <c r="H1576" t="s">
        <v>87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30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X1576">
        <v>0</v>
      </c>
      <c r="Y1576">
        <v>0</v>
      </c>
      <c r="Z1576">
        <v>0</v>
      </c>
      <c r="AA1576">
        <v>0</v>
      </c>
      <c r="AB1576" t="s">
        <v>3290</v>
      </c>
    </row>
    <row r="1577" spans="1:28" x14ac:dyDescent="0.25">
      <c r="H1577" t="s">
        <v>3291</v>
      </c>
    </row>
    <row r="1578" spans="1:28" x14ac:dyDescent="0.25">
      <c r="A1578">
        <v>786</v>
      </c>
      <c r="B1578">
        <v>3746</v>
      </c>
      <c r="C1578" t="s">
        <v>3292</v>
      </c>
      <c r="D1578" t="s">
        <v>179</v>
      </c>
      <c r="E1578" t="s">
        <v>51</v>
      </c>
      <c r="F1578" t="s">
        <v>3293</v>
      </c>
      <c r="G1578" t="str">
        <f>"00228363"</f>
        <v>00228363</v>
      </c>
      <c r="H1578" t="s">
        <v>87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X1578">
        <v>0</v>
      </c>
      <c r="Y1578">
        <v>0</v>
      </c>
      <c r="Z1578">
        <v>0</v>
      </c>
      <c r="AA1578">
        <v>0</v>
      </c>
      <c r="AB1578" t="s">
        <v>3290</v>
      </c>
    </row>
    <row r="1579" spans="1:28" x14ac:dyDescent="0.25">
      <c r="H1579" t="s">
        <v>3294</v>
      </c>
    </row>
    <row r="1580" spans="1:28" x14ac:dyDescent="0.25">
      <c r="A1580">
        <v>787</v>
      </c>
      <c r="B1580">
        <v>2663</v>
      </c>
      <c r="C1580" t="s">
        <v>3295</v>
      </c>
      <c r="D1580" t="s">
        <v>154</v>
      </c>
      <c r="E1580" t="s">
        <v>15</v>
      </c>
      <c r="F1580" t="s">
        <v>3296</v>
      </c>
      <c r="G1580" t="str">
        <f>"201502000664"</f>
        <v>201502000664</v>
      </c>
      <c r="H1580" t="s">
        <v>87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X1580">
        <v>0</v>
      </c>
      <c r="Y1580">
        <v>0</v>
      </c>
      <c r="Z1580">
        <v>0</v>
      </c>
      <c r="AA1580">
        <v>0</v>
      </c>
      <c r="AB1580" t="s">
        <v>3290</v>
      </c>
    </row>
    <row r="1581" spans="1:28" x14ac:dyDescent="0.25">
      <c r="H1581" t="s">
        <v>2219</v>
      </c>
    </row>
    <row r="1582" spans="1:28" x14ac:dyDescent="0.25">
      <c r="A1582">
        <v>788</v>
      </c>
      <c r="B1582">
        <v>1014</v>
      </c>
      <c r="C1582" t="s">
        <v>3297</v>
      </c>
      <c r="D1582" t="s">
        <v>1017</v>
      </c>
      <c r="E1582" t="s">
        <v>20</v>
      </c>
      <c r="F1582" t="s">
        <v>3298</v>
      </c>
      <c r="G1582" t="str">
        <f>"201412004083"</f>
        <v>201412004083</v>
      </c>
      <c r="H1582" t="s">
        <v>87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30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X1582">
        <v>0</v>
      </c>
      <c r="Y1582">
        <v>0</v>
      </c>
      <c r="Z1582">
        <v>0</v>
      </c>
      <c r="AA1582">
        <v>0</v>
      </c>
      <c r="AB1582" t="s">
        <v>3290</v>
      </c>
    </row>
    <row r="1583" spans="1:28" x14ac:dyDescent="0.25">
      <c r="H1583" t="s">
        <v>3299</v>
      </c>
    </row>
    <row r="1584" spans="1:28" x14ac:dyDescent="0.25">
      <c r="A1584">
        <v>789</v>
      </c>
      <c r="B1584">
        <v>612</v>
      </c>
      <c r="C1584" t="s">
        <v>3300</v>
      </c>
      <c r="D1584" t="s">
        <v>311</v>
      </c>
      <c r="E1584" t="s">
        <v>14</v>
      </c>
      <c r="F1584" t="s">
        <v>3301</v>
      </c>
      <c r="G1584" t="str">
        <f>"00306157"</f>
        <v>00306157</v>
      </c>
      <c r="H1584" t="s">
        <v>87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X1584">
        <v>0</v>
      </c>
      <c r="Y1584">
        <v>0</v>
      </c>
      <c r="Z1584">
        <v>0</v>
      </c>
      <c r="AA1584">
        <v>0</v>
      </c>
      <c r="AB1584" t="s">
        <v>3290</v>
      </c>
    </row>
    <row r="1585" spans="1:28" x14ac:dyDescent="0.25">
      <c r="H1585">
        <v>1009</v>
      </c>
    </row>
    <row r="1586" spans="1:28" x14ac:dyDescent="0.25">
      <c r="A1586">
        <v>790</v>
      </c>
      <c r="B1586">
        <v>485</v>
      </c>
      <c r="C1586" t="s">
        <v>3302</v>
      </c>
      <c r="D1586" t="s">
        <v>3303</v>
      </c>
      <c r="E1586" t="s">
        <v>14</v>
      </c>
      <c r="F1586" t="s">
        <v>3304</v>
      </c>
      <c r="G1586" t="str">
        <f>"00118748"</f>
        <v>00118748</v>
      </c>
      <c r="H1586">
        <v>715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70</v>
      </c>
      <c r="O1586">
        <v>0</v>
      </c>
      <c r="P1586">
        <v>0</v>
      </c>
      <c r="Q1586">
        <v>0</v>
      </c>
      <c r="R1586">
        <v>50</v>
      </c>
      <c r="S1586">
        <v>0</v>
      </c>
      <c r="T1586">
        <v>0</v>
      </c>
      <c r="U1586">
        <v>0</v>
      </c>
      <c r="V1586">
        <v>0</v>
      </c>
      <c r="X1586">
        <v>0</v>
      </c>
      <c r="Y1586">
        <v>0</v>
      </c>
      <c r="Z1586">
        <v>0</v>
      </c>
      <c r="AA1586">
        <v>0</v>
      </c>
      <c r="AB1586">
        <v>835</v>
      </c>
    </row>
    <row r="1587" spans="1:28" x14ac:dyDescent="0.25">
      <c r="H1587" t="s">
        <v>421</v>
      </c>
    </row>
    <row r="1588" spans="1:28" x14ac:dyDescent="0.25">
      <c r="A1588">
        <v>791</v>
      </c>
      <c r="B1588">
        <v>1153</v>
      </c>
      <c r="C1588" t="s">
        <v>3305</v>
      </c>
      <c r="D1588" t="s">
        <v>2235</v>
      </c>
      <c r="E1588" t="s">
        <v>1036</v>
      </c>
      <c r="F1588" t="s">
        <v>3306</v>
      </c>
      <c r="G1588" t="str">
        <f>"201410012672"</f>
        <v>201410012672</v>
      </c>
      <c r="H1588" t="s">
        <v>22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70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X1588">
        <v>0</v>
      </c>
      <c r="Y1588">
        <v>0</v>
      </c>
      <c r="Z1588">
        <v>0</v>
      </c>
      <c r="AA1588">
        <v>0</v>
      </c>
      <c r="AB1588" t="s">
        <v>3307</v>
      </c>
    </row>
    <row r="1589" spans="1:28" x14ac:dyDescent="0.25">
      <c r="H1589" t="s">
        <v>3308</v>
      </c>
    </row>
    <row r="1590" spans="1:28" x14ac:dyDescent="0.25">
      <c r="A1590">
        <v>792</v>
      </c>
      <c r="B1590">
        <v>3742</v>
      </c>
      <c r="C1590" t="s">
        <v>3309</v>
      </c>
      <c r="D1590" t="s">
        <v>306</v>
      </c>
      <c r="E1590" t="s">
        <v>282</v>
      </c>
      <c r="F1590" t="s">
        <v>3310</v>
      </c>
      <c r="G1590" t="str">
        <f>"00208363"</f>
        <v>00208363</v>
      </c>
      <c r="H1590" t="s">
        <v>189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30</v>
      </c>
      <c r="O1590">
        <v>0</v>
      </c>
      <c r="P1590">
        <v>0</v>
      </c>
      <c r="Q1590">
        <v>30</v>
      </c>
      <c r="R1590">
        <v>0</v>
      </c>
      <c r="S1590">
        <v>0</v>
      </c>
      <c r="T1590">
        <v>0</v>
      </c>
      <c r="U1590">
        <v>0</v>
      </c>
      <c r="V1590">
        <v>0</v>
      </c>
      <c r="X1590">
        <v>0</v>
      </c>
      <c r="Y1590">
        <v>0</v>
      </c>
      <c r="Z1590">
        <v>0</v>
      </c>
      <c r="AA1590">
        <v>0</v>
      </c>
      <c r="AB1590" t="s">
        <v>3311</v>
      </c>
    </row>
    <row r="1591" spans="1:28" x14ac:dyDescent="0.25">
      <c r="H1591">
        <v>1009</v>
      </c>
    </row>
    <row r="1592" spans="1:28" x14ac:dyDescent="0.25">
      <c r="A1592">
        <v>793</v>
      </c>
      <c r="B1592">
        <v>4491</v>
      </c>
      <c r="C1592" t="s">
        <v>3312</v>
      </c>
      <c r="D1592" t="s">
        <v>339</v>
      </c>
      <c r="E1592" t="s">
        <v>14</v>
      </c>
      <c r="F1592" t="s">
        <v>3313</v>
      </c>
      <c r="G1592" t="str">
        <f>"201506002746"</f>
        <v>201506002746</v>
      </c>
      <c r="H1592" t="s">
        <v>898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50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X1592">
        <v>0</v>
      </c>
      <c r="Y1592">
        <v>0</v>
      </c>
      <c r="Z1592">
        <v>0</v>
      </c>
      <c r="AA1592">
        <v>0</v>
      </c>
      <c r="AB1592" t="s">
        <v>3314</v>
      </c>
    </row>
    <row r="1593" spans="1:28" x14ac:dyDescent="0.25">
      <c r="H1593" t="s">
        <v>3315</v>
      </c>
    </row>
    <row r="1594" spans="1:28" x14ac:dyDescent="0.25">
      <c r="A1594">
        <v>794</v>
      </c>
      <c r="B1594">
        <v>4720</v>
      </c>
      <c r="C1594" t="s">
        <v>1590</v>
      </c>
      <c r="D1594" t="s">
        <v>20</v>
      </c>
      <c r="E1594" t="s">
        <v>3316</v>
      </c>
      <c r="F1594" t="s">
        <v>3317</v>
      </c>
      <c r="G1594" t="str">
        <f>"201406009841"</f>
        <v>201406009841</v>
      </c>
      <c r="H1594" t="s">
        <v>34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70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X1594">
        <v>0</v>
      </c>
      <c r="Y1594">
        <v>0</v>
      </c>
      <c r="Z1594">
        <v>0</v>
      </c>
      <c r="AA1594">
        <v>0</v>
      </c>
      <c r="AB1594" t="s">
        <v>3318</v>
      </c>
    </row>
    <row r="1595" spans="1:28" x14ac:dyDescent="0.25">
      <c r="H1595">
        <v>1009</v>
      </c>
    </row>
    <row r="1596" spans="1:28" x14ac:dyDescent="0.25">
      <c r="A1596">
        <v>795</v>
      </c>
      <c r="B1596">
        <v>2165</v>
      </c>
      <c r="C1596" t="s">
        <v>3292</v>
      </c>
      <c r="D1596" t="s">
        <v>1309</v>
      </c>
      <c r="E1596" t="s">
        <v>51</v>
      </c>
      <c r="F1596" t="s">
        <v>3319</v>
      </c>
      <c r="G1596" t="str">
        <f>"00227054"</f>
        <v>00227054</v>
      </c>
      <c r="H1596">
        <v>803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30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X1596">
        <v>0</v>
      </c>
      <c r="Y1596">
        <v>0</v>
      </c>
      <c r="Z1596">
        <v>0</v>
      </c>
      <c r="AA1596">
        <v>0</v>
      </c>
      <c r="AB1596">
        <v>833</v>
      </c>
    </row>
    <row r="1597" spans="1:28" x14ac:dyDescent="0.25">
      <c r="H1597" t="s">
        <v>3294</v>
      </c>
    </row>
    <row r="1598" spans="1:28" x14ac:dyDescent="0.25">
      <c r="A1598">
        <v>796</v>
      </c>
      <c r="B1598">
        <v>3280</v>
      </c>
      <c r="C1598" t="s">
        <v>3320</v>
      </c>
      <c r="D1598" t="s">
        <v>3321</v>
      </c>
      <c r="E1598" t="s">
        <v>51</v>
      </c>
      <c r="F1598" t="s">
        <v>3322</v>
      </c>
      <c r="G1598" t="str">
        <f>"201304002947"</f>
        <v>201304002947</v>
      </c>
      <c r="H1598" t="s">
        <v>2329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70</v>
      </c>
      <c r="O1598">
        <v>0</v>
      </c>
      <c r="P1598">
        <v>30</v>
      </c>
      <c r="Q1598">
        <v>30</v>
      </c>
      <c r="R1598">
        <v>0</v>
      </c>
      <c r="S1598">
        <v>0</v>
      </c>
      <c r="T1598">
        <v>0</v>
      </c>
      <c r="U1598">
        <v>0</v>
      </c>
      <c r="V1598">
        <v>0</v>
      </c>
      <c r="X1598">
        <v>0</v>
      </c>
      <c r="Y1598">
        <v>0</v>
      </c>
      <c r="Z1598">
        <v>0</v>
      </c>
      <c r="AA1598">
        <v>0</v>
      </c>
      <c r="AB1598" t="s">
        <v>3323</v>
      </c>
    </row>
    <row r="1599" spans="1:28" x14ac:dyDescent="0.25">
      <c r="H1599" t="s">
        <v>605</v>
      </c>
    </row>
    <row r="1600" spans="1:28" x14ac:dyDescent="0.25">
      <c r="A1600">
        <v>797</v>
      </c>
      <c r="B1600">
        <v>5352</v>
      </c>
      <c r="C1600" t="s">
        <v>3324</v>
      </c>
      <c r="D1600" t="s">
        <v>893</v>
      </c>
      <c r="E1600" t="s">
        <v>50</v>
      </c>
      <c r="F1600" t="s">
        <v>3325</v>
      </c>
      <c r="G1600" t="str">
        <f>"00117964"</f>
        <v>00117964</v>
      </c>
      <c r="H1600" t="s">
        <v>413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30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X1600">
        <v>0</v>
      </c>
      <c r="Y1600">
        <v>0</v>
      </c>
      <c r="Z1600">
        <v>4</v>
      </c>
      <c r="AA1600">
        <v>68</v>
      </c>
      <c r="AB1600" t="s">
        <v>3326</v>
      </c>
    </row>
    <row r="1601" spans="1:28" x14ac:dyDescent="0.25">
      <c r="H1601" t="s">
        <v>3327</v>
      </c>
    </row>
    <row r="1602" spans="1:28" x14ac:dyDescent="0.25">
      <c r="A1602">
        <v>798</v>
      </c>
      <c r="B1602">
        <v>4560</v>
      </c>
      <c r="C1602" t="s">
        <v>2354</v>
      </c>
      <c r="D1602" t="s">
        <v>155</v>
      </c>
      <c r="E1602" t="s">
        <v>14</v>
      </c>
      <c r="F1602" t="s">
        <v>3328</v>
      </c>
      <c r="G1602" t="str">
        <f>"00241632"</f>
        <v>00241632</v>
      </c>
      <c r="H1602" t="s">
        <v>330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70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X1602">
        <v>0</v>
      </c>
      <c r="Y1602">
        <v>0</v>
      </c>
      <c r="Z1602">
        <v>0</v>
      </c>
      <c r="AA1602">
        <v>0</v>
      </c>
      <c r="AB1602" t="s">
        <v>3329</v>
      </c>
    </row>
    <row r="1603" spans="1:28" x14ac:dyDescent="0.25">
      <c r="H1603" t="s">
        <v>3330</v>
      </c>
    </row>
    <row r="1604" spans="1:28" x14ac:dyDescent="0.25">
      <c r="A1604">
        <v>799</v>
      </c>
      <c r="B1604">
        <v>2104</v>
      </c>
      <c r="C1604" t="s">
        <v>3331</v>
      </c>
      <c r="D1604" t="s">
        <v>38</v>
      </c>
      <c r="E1604" t="s">
        <v>14</v>
      </c>
      <c r="F1604" t="s">
        <v>3332</v>
      </c>
      <c r="G1604" t="str">
        <f>"201304004550"</f>
        <v>201304004550</v>
      </c>
      <c r="H1604" t="s">
        <v>665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X1604">
        <v>0</v>
      </c>
      <c r="Y1604">
        <v>0</v>
      </c>
      <c r="Z1604">
        <v>0</v>
      </c>
      <c r="AA1604">
        <v>0</v>
      </c>
      <c r="AB1604" t="s">
        <v>3333</v>
      </c>
    </row>
    <row r="1605" spans="1:28" x14ac:dyDescent="0.25">
      <c r="H1605" t="s">
        <v>3334</v>
      </c>
    </row>
    <row r="1606" spans="1:28" x14ac:dyDescent="0.25">
      <c r="A1606">
        <v>800</v>
      </c>
      <c r="B1606">
        <v>3110</v>
      </c>
      <c r="C1606" t="s">
        <v>3335</v>
      </c>
      <c r="D1606" t="s">
        <v>757</v>
      </c>
      <c r="E1606" t="s">
        <v>15</v>
      </c>
      <c r="F1606" t="s">
        <v>3336</v>
      </c>
      <c r="G1606" t="str">
        <f>"201412007163"</f>
        <v>201412007163</v>
      </c>
      <c r="H1606" t="s">
        <v>1242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70</v>
      </c>
      <c r="O1606">
        <v>30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X1606">
        <v>0</v>
      </c>
      <c r="Y1606">
        <v>0</v>
      </c>
      <c r="Z1606">
        <v>0</v>
      </c>
      <c r="AA1606">
        <v>0</v>
      </c>
      <c r="AB1606" t="s">
        <v>3337</v>
      </c>
    </row>
    <row r="1607" spans="1:28" x14ac:dyDescent="0.25">
      <c r="H1607" t="s">
        <v>3338</v>
      </c>
    </row>
    <row r="1608" spans="1:28" x14ac:dyDescent="0.25">
      <c r="A1608">
        <v>801</v>
      </c>
      <c r="B1608">
        <v>2291</v>
      </c>
      <c r="C1608" t="s">
        <v>3339</v>
      </c>
      <c r="D1608" t="s">
        <v>494</v>
      </c>
      <c r="E1608" t="s">
        <v>14</v>
      </c>
      <c r="F1608" t="s">
        <v>3340</v>
      </c>
      <c r="G1608" t="str">
        <f>"201502002154"</f>
        <v>201502002154</v>
      </c>
      <c r="H1608" t="s">
        <v>294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30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X1608">
        <v>0</v>
      </c>
      <c r="Y1608">
        <v>0</v>
      </c>
      <c r="Z1608">
        <v>8</v>
      </c>
      <c r="AA1608">
        <v>136</v>
      </c>
      <c r="AB1608" t="s">
        <v>3337</v>
      </c>
    </row>
    <row r="1609" spans="1:28" x14ac:dyDescent="0.25">
      <c r="H1609" t="s">
        <v>3341</v>
      </c>
    </row>
    <row r="1610" spans="1:28" x14ac:dyDescent="0.25">
      <c r="A1610">
        <v>802</v>
      </c>
      <c r="B1610">
        <v>2603</v>
      </c>
      <c r="C1610" t="s">
        <v>3342</v>
      </c>
      <c r="D1610" t="s">
        <v>306</v>
      </c>
      <c r="E1610" t="s">
        <v>247</v>
      </c>
      <c r="F1610" t="s">
        <v>3343</v>
      </c>
      <c r="G1610" t="str">
        <f>"201410009829"</f>
        <v>201410009829</v>
      </c>
      <c r="H1610" t="s">
        <v>1554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70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X1610">
        <v>0</v>
      </c>
      <c r="Y1610">
        <v>0</v>
      </c>
      <c r="Z1610">
        <v>0</v>
      </c>
      <c r="AA1610">
        <v>0</v>
      </c>
      <c r="AB1610" t="s">
        <v>3344</v>
      </c>
    </row>
    <row r="1611" spans="1:28" x14ac:dyDescent="0.25">
      <c r="H1611" t="s">
        <v>3345</v>
      </c>
    </row>
    <row r="1612" spans="1:28" x14ac:dyDescent="0.25">
      <c r="A1612">
        <v>803</v>
      </c>
      <c r="B1612">
        <v>1954</v>
      </c>
      <c r="C1612" t="s">
        <v>3346</v>
      </c>
      <c r="D1612" t="s">
        <v>3347</v>
      </c>
      <c r="E1612" t="s">
        <v>44</v>
      </c>
      <c r="F1612" t="s">
        <v>3348</v>
      </c>
      <c r="G1612" t="str">
        <f>"201406008310"</f>
        <v>201406008310</v>
      </c>
      <c r="H1612" t="s">
        <v>1032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X1612">
        <v>0</v>
      </c>
      <c r="Y1612">
        <v>0</v>
      </c>
      <c r="Z1612">
        <v>0</v>
      </c>
      <c r="AA1612">
        <v>0</v>
      </c>
      <c r="AB1612" t="s">
        <v>3349</v>
      </c>
    </row>
    <row r="1613" spans="1:28" x14ac:dyDescent="0.25">
      <c r="H1613" t="s">
        <v>3350</v>
      </c>
    </row>
    <row r="1614" spans="1:28" x14ac:dyDescent="0.25">
      <c r="A1614">
        <v>804</v>
      </c>
      <c r="B1614">
        <v>3033</v>
      </c>
      <c r="C1614" t="s">
        <v>3351</v>
      </c>
      <c r="D1614" t="s">
        <v>154</v>
      </c>
      <c r="E1614" t="s">
        <v>20</v>
      </c>
      <c r="F1614" t="s">
        <v>3352</v>
      </c>
      <c r="G1614" t="str">
        <f>"201506003145"</f>
        <v>201506003145</v>
      </c>
      <c r="H1614" t="s">
        <v>1412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70</v>
      </c>
      <c r="O1614">
        <v>30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X1614">
        <v>0</v>
      </c>
      <c r="Y1614">
        <v>0</v>
      </c>
      <c r="Z1614">
        <v>0</v>
      </c>
      <c r="AA1614">
        <v>0</v>
      </c>
      <c r="AB1614" t="s">
        <v>3353</v>
      </c>
    </row>
    <row r="1615" spans="1:28" x14ac:dyDescent="0.25">
      <c r="H1615" t="s">
        <v>1142</v>
      </c>
    </row>
    <row r="1616" spans="1:28" x14ac:dyDescent="0.25">
      <c r="A1616">
        <v>805</v>
      </c>
      <c r="B1616">
        <v>4451</v>
      </c>
      <c r="C1616" t="s">
        <v>3354</v>
      </c>
      <c r="D1616" t="s">
        <v>202</v>
      </c>
      <c r="E1616" t="s">
        <v>218</v>
      </c>
      <c r="F1616" t="s">
        <v>3355</v>
      </c>
      <c r="G1616" t="str">
        <f>"00209745"</f>
        <v>00209745</v>
      </c>
      <c r="H1616" t="s">
        <v>1835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70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X1616">
        <v>0</v>
      </c>
      <c r="Y1616">
        <v>0</v>
      </c>
      <c r="Z1616">
        <v>0</v>
      </c>
      <c r="AA1616">
        <v>0</v>
      </c>
      <c r="AB1616" t="s">
        <v>3356</v>
      </c>
    </row>
    <row r="1617" spans="1:28" x14ac:dyDescent="0.25">
      <c r="H1617">
        <v>1009</v>
      </c>
    </row>
    <row r="1618" spans="1:28" x14ac:dyDescent="0.25">
      <c r="A1618">
        <v>806</v>
      </c>
      <c r="B1618">
        <v>2236</v>
      </c>
      <c r="C1618" t="s">
        <v>3357</v>
      </c>
      <c r="D1618" t="s">
        <v>1999</v>
      </c>
      <c r="E1618" t="s">
        <v>38</v>
      </c>
      <c r="F1618" t="s">
        <v>3358</v>
      </c>
      <c r="G1618" t="str">
        <f>"00122882"</f>
        <v>00122882</v>
      </c>
      <c r="H1618" t="s">
        <v>557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X1618">
        <v>0</v>
      </c>
      <c r="Y1618">
        <v>0</v>
      </c>
      <c r="Z1618">
        <v>0</v>
      </c>
      <c r="AA1618">
        <v>0</v>
      </c>
      <c r="AB1618" t="s">
        <v>3359</v>
      </c>
    </row>
    <row r="1619" spans="1:28" x14ac:dyDescent="0.25">
      <c r="H1619" t="s">
        <v>3360</v>
      </c>
    </row>
    <row r="1620" spans="1:28" x14ac:dyDescent="0.25">
      <c r="A1620">
        <v>807</v>
      </c>
      <c r="B1620">
        <v>4638</v>
      </c>
      <c r="C1620" t="s">
        <v>3361</v>
      </c>
      <c r="D1620" t="s">
        <v>3362</v>
      </c>
      <c r="E1620" t="s">
        <v>758</v>
      </c>
      <c r="F1620" t="s">
        <v>3363</v>
      </c>
      <c r="G1620" t="str">
        <f>"00123399"</f>
        <v>00123399</v>
      </c>
      <c r="H1620">
        <v>759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70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X1620">
        <v>0</v>
      </c>
      <c r="Y1620">
        <v>0</v>
      </c>
      <c r="Z1620">
        <v>0</v>
      </c>
      <c r="AA1620">
        <v>0</v>
      </c>
      <c r="AB1620">
        <v>829</v>
      </c>
    </row>
    <row r="1621" spans="1:28" x14ac:dyDescent="0.25">
      <c r="H1621" t="s">
        <v>3364</v>
      </c>
    </row>
    <row r="1622" spans="1:28" x14ac:dyDescent="0.25">
      <c r="A1622">
        <v>808</v>
      </c>
      <c r="B1622">
        <v>3780</v>
      </c>
      <c r="C1622" t="s">
        <v>3365</v>
      </c>
      <c r="D1622" t="s">
        <v>518</v>
      </c>
      <c r="E1622" t="s">
        <v>14</v>
      </c>
      <c r="F1622" t="s">
        <v>3366</v>
      </c>
      <c r="G1622" t="str">
        <f>"00234817"</f>
        <v>00234817</v>
      </c>
      <c r="H1622" t="s">
        <v>1331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X1622">
        <v>0</v>
      </c>
      <c r="Y1622">
        <v>0</v>
      </c>
      <c r="Z1622">
        <v>0</v>
      </c>
      <c r="AA1622">
        <v>0</v>
      </c>
      <c r="AB1622" t="s">
        <v>3367</v>
      </c>
    </row>
    <row r="1623" spans="1:28" x14ac:dyDescent="0.25">
      <c r="H1623" t="s">
        <v>3368</v>
      </c>
    </row>
    <row r="1624" spans="1:28" x14ac:dyDescent="0.25">
      <c r="A1624">
        <v>809</v>
      </c>
      <c r="B1624">
        <v>3638</v>
      </c>
      <c r="C1624" t="s">
        <v>3369</v>
      </c>
      <c r="D1624" t="s">
        <v>179</v>
      </c>
      <c r="E1624" t="s">
        <v>20</v>
      </c>
      <c r="F1624" t="s">
        <v>3370</v>
      </c>
      <c r="G1624" t="str">
        <f>"201504002937"</f>
        <v>201504002937</v>
      </c>
      <c r="H1624" t="s">
        <v>1772</v>
      </c>
      <c r="I1624">
        <v>0</v>
      </c>
      <c r="J1624">
        <v>0</v>
      </c>
      <c r="K1624">
        <v>0</v>
      </c>
      <c r="L1624">
        <v>200</v>
      </c>
      <c r="M1624">
        <v>0</v>
      </c>
      <c r="N1624">
        <v>30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X1624">
        <v>0</v>
      </c>
      <c r="Y1624">
        <v>0</v>
      </c>
      <c r="Z1624">
        <v>0</v>
      </c>
      <c r="AA1624">
        <v>0</v>
      </c>
      <c r="AB1624" t="s">
        <v>3371</v>
      </c>
    </row>
    <row r="1625" spans="1:28" x14ac:dyDescent="0.25">
      <c r="H1625" t="s">
        <v>3372</v>
      </c>
    </row>
    <row r="1626" spans="1:28" x14ac:dyDescent="0.25">
      <c r="A1626">
        <v>810</v>
      </c>
      <c r="B1626">
        <v>5087</v>
      </c>
      <c r="C1626" t="s">
        <v>3373</v>
      </c>
      <c r="D1626" t="s">
        <v>3374</v>
      </c>
      <c r="E1626" t="s">
        <v>14</v>
      </c>
      <c r="F1626" t="s">
        <v>3375</v>
      </c>
      <c r="G1626" t="str">
        <f>"00230039"</f>
        <v>00230039</v>
      </c>
      <c r="H1626">
        <v>748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30</v>
      </c>
      <c r="O1626">
        <v>50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X1626">
        <v>0</v>
      </c>
      <c r="Y1626">
        <v>0</v>
      </c>
      <c r="Z1626">
        <v>0</v>
      </c>
      <c r="AA1626">
        <v>0</v>
      </c>
      <c r="AB1626">
        <v>828</v>
      </c>
    </row>
    <row r="1627" spans="1:28" x14ac:dyDescent="0.25">
      <c r="H1627" t="s">
        <v>3376</v>
      </c>
    </row>
    <row r="1628" spans="1:28" x14ac:dyDescent="0.25">
      <c r="A1628">
        <v>811</v>
      </c>
      <c r="B1628">
        <v>2356</v>
      </c>
      <c r="C1628" t="s">
        <v>3377</v>
      </c>
      <c r="D1628" t="s">
        <v>3378</v>
      </c>
      <c r="E1628" t="s">
        <v>80</v>
      </c>
      <c r="F1628" t="s">
        <v>3379</v>
      </c>
      <c r="G1628" t="str">
        <f>"00216644"</f>
        <v>00216644</v>
      </c>
      <c r="H1628" t="s">
        <v>1862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70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X1628">
        <v>0</v>
      </c>
      <c r="Y1628">
        <v>0</v>
      </c>
      <c r="Z1628">
        <v>0</v>
      </c>
      <c r="AA1628">
        <v>0</v>
      </c>
      <c r="AB1628" t="s">
        <v>3380</v>
      </c>
    </row>
    <row r="1629" spans="1:28" x14ac:dyDescent="0.25">
      <c r="H1629" t="s">
        <v>3381</v>
      </c>
    </row>
    <row r="1630" spans="1:28" x14ac:dyDescent="0.25">
      <c r="A1630">
        <v>812</v>
      </c>
      <c r="B1630">
        <v>2570</v>
      </c>
      <c r="C1630" t="s">
        <v>3382</v>
      </c>
      <c r="D1630" t="s">
        <v>39</v>
      </c>
      <c r="E1630" t="s">
        <v>80</v>
      </c>
      <c r="F1630" t="s">
        <v>3383</v>
      </c>
      <c r="G1630" t="str">
        <f>"00243271"</f>
        <v>00243271</v>
      </c>
      <c r="H1630" t="s">
        <v>1862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70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X1630">
        <v>0</v>
      </c>
      <c r="Y1630">
        <v>0</v>
      </c>
      <c r="Z1630">
        <v>0</v>
      </c>
      <c r="AA1630">
        <v>0</v>
      </c>
      <c r="AB1630" t="s">
        <v>3380</v>
      </c>
    </row>
    <row r="1631" spans="1:28" x14ac:dyDescent="0.25">
      <c r="H1631" t="s">
        <v>3384</v>
      </c>
    </row>
    <row r="1632" spans="1:28" x14ac:dyDescent="0.25">
      <c r="A1632">
        <v>813</v>
      </c>
      <c r="B1632">
        <v>2919</v>
      </c>
      <c r="C1632" t="s">
        <v>3385</v>
      </c>
      <c r="D1632" t="s">
        <v>155</v>
      </c>
      <c r="E1632" t="s">
        <v>20</v>
      </c>
      <c r="F1632" t="s">
        <v>3386</v>
      </c>
      <c r="G1632" t="str">
        <f>"00236932"</f>
        <v>00236932</v>
      </c>
      <c r="H1632" t="s">
        <v>1862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70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X1632">
        <v>0</v>
      </c>
      <c r="Y1632">
        <v>0</v>
      </c>
      <c r="Z1632">
        <v>0</v>
      </c>
      <c r="AA1632">
        <v>0</v>
      </c>
      <c r="AB1632" t="s">
        <v>3380</v>
      </c>
    </row>
    <row r="1633" spans="1:28" x14ac:dyDescent="0.25">
      <c r="H1633" t="s">
        <v>3387</v>
      </c>
    </row>
    <row r="1634" spans="1:28" x14ac:dyDescent="0.25">
      <c r="A1634">
        <v>814</v>
      </c>
      <c r="B1634">
        <v>3847</v>
      </c>
      <c r="C1634" t="s">
        <v>3388</v>
      </c>
      <c r="D1634" t="s">
        <v>458</v>
      </c>
      <c r="E1634" t="s">
        <v>3389</v>
      </c>
      <c r="F1634" t="s">
        <v>3390</v>
      </c>
      <c r="G1634" t="str">
        <f>"201511006481"</f>
        <v>201511006481</v>
      </c>
      <c r="H1634" t="s">
        <v>1384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70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X1634">
        <v>1</v>
      </c>
      <c r="Y1634">
        <v>0</v>
      </c>
      <c r="Z1634">
        <v>0</v>
      </c>
      <c r="AA1634">
        <v>0</v>
      </c>
      <c r="AB1634" t="s">
        <v>3391</v>
      </c>
    </row>
    <row r="1635" spans="1:28" x14ac:dyDescent="0.25">
      <c r="H1635" t="s">
        <v>1129</v>
      </c>
    </row>
    <row r="1636" spans="1:28" x14ac:dyDescent="0.25">
      <c r="A1636">
        <v>815</v>
      </c>
      <c r="B1636">
        <v>849</v>
      </c>
      <c r="C1636" t="s">
        <v>3392</v>
      </c>
      <c r="D1636" t="s">
        <v>1431</v>
      </c>
      <c r="E1636" t="s">
        <v>14</v>
      </c>
      <c r="F1636" t="s">
        <v>3393</v>
      </c>
      <c r="G1636" t="str">
        <f>"00227751"</f>
        <v>00227751</v>
      </c>
      <c r="H1636" t="s">
        <v>1384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70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X1636">
        <v>0</v>
      </c>
      <c r="Y1636">
        <v>0</v>
      </c>
      <c r="Z1636">
        <v>0</v>
      </c>
      <c r="AA1636">
        <v>0</v>
      </c>
      <c r="AB1636" t="s">
        <v>3391</v>
      </c>
    </row>
    <row r="1637" spans="1:28" x14ac:dyDescent="0.25">
      <c r="H1637" t="s">
        <v>3394</v>
      </c>
    </row>
    <row r="1638" spans="1:28" x14ac:dyDescent="0.25">
      <c r="A1638">
        <v>816</v>
      </c>
      <c r="B1638">
        <v>3777</v>
      </c>
      <c r="C1638" t="s">
        <v>3395</v>
      </c>
      <c r="D1638" t="s">
        <v>3396</v>
      </c>
      <c r="E1638" t="s">
        <v>635</v>
      </c>
      <c r="F1638" t="s">
        <v>3397</v>
      </c>
      <c r="G1638" t="str">
        <f>"201406006034"</f>
        <v>201406006034</v>
      </c>
      <c r="H1638" t="s">
        <v>809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X1638">
        <v>0</v>
      </c>
      <c r="Y1638">
        <v>0</v>
      </c>
      <c r="Z1638">
        <v>0</v>
      </c>
      <c r="AA1638">
        <v>0</v>
      </c>
      <c r="AB1638" t="s">
        <v>3398</v>
      </c>
    </row>
    <row r="1639" spans="1:28" x14ac:dyDescent="0.25">
      <c r="H1639" t="s">
        <v>3399</v>
      </c>
    </row>
    <row r="1640" spans="1:28" x14ac:dyDescent="0.25">
      <c r="A1640">
        <v>817</v>
      </c>
      <c r="B1640">
        <v>5148</v>
      </c>
      <c r="C1640" t="s">
        <v>3400</v>
      </c>
      <c r="D1640" t="s">
        <v>19</v>
      </c>
      <c r="E1640" t="s">
        <v>869</v>
      </c>
      <c r="F1640" t="s">
        <v>3401</v>
      </c>
      <c r="G1640" t="str">
        <f>"201406013030"</f>
        <v>201406013030</v>
      </c>
      <c r="H1640" t="s">
        <v>753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30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X1640">
        <v>0</v>
      </c>
      <c r="Y1640">
        <v>0</v>
      </c>
      <c r="Z1640">
        <v>0</v>
      </c>
      <c r="AA1640">
        <v>0</v>
      </c>
      <c r="AB1640" t="s">
        <v>3402</v>
      </c>
    </row>
    <row r="1641" spans="1:28" x14ac:dyDescent="0.25">
      <c r="H1641" t="s">
        <v>3403</v>
      </c>
    </row>
    <row r="1642" spans="1:28" x14ac:dyDescent="0.25">
      <c r="A1642">
        <v>818</v>
      </c>
      <c r="B1642">
        <v>1073</v>
      </c>
      <c r="C1642" t="s">
        <v>3404</v>
      </c>
      <c r="D1642" t="s">
        <v>3075</v>
      </c>
      <c r="E1642" t="s">
        <v>762</v>
      </c>
      <c r="F1642" t="s">
        <v>3405</v>
      </c>
      <c r="G1642" t="str">
        <f>"201604003286"</f>
        <v>201604003286</v>
      </c>
      <c r="H1642" t="s">
        <v>865</v>
      </c>
      <c r="I1642">
        <v>0</v>
      </c>
      <c r="J1642">
        <v>0</v>
      </c>
      <c r="K1642">
        <v>0</v>
      </c>
      <c r="L1642">
        <v>0</v>
      </c>
      <c r="M1642">
        <v>100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X1642">
        <v>0</v>
      </c>
      <c r="Y1642">
        <v>0</v>
      </c>
      <c r="Z1642">
        <v>0</v>
      </c>
      <c r="AA1642">
        <v>0</v>
      </c>
      <c r="AB1642" t="s">
        <v>3406</v>
      </c>
    </row>
    <row r="1643" spans="1:28" x14ac:dyDescent="0.25">
      <c r="H1643" t="s">
        <v>3407</v>
      </c>
    </row>
    <row r="1644" spans="1:28" x14ac:dyDescent="0.25">
      <c r="A1644">
        <v>819</v>
      </c>
      <c r="B1644">
        <v>4315</v>
      </c>
      <c r="C1644" t="s">
        <v>1638</v>
      </c>
      <c r="D1644" t="s">
        <v>187</v>
      </c>
      <c r="E1644" t="s">
        <v>1152</v>
      </c>
      <c r="F1644" t="s">
        <v>3408</v>
      </c>
      <c r="G1644" t="str">
        <f>"201406000785"</f>
        <v>201406000785</v>
      </c>
      <c r="H1644">
        <v>726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70</v>
      </c>
      <c r="O1644">
        <v>0</v>
      </c>
      <c r="P1644">
        <v>30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X1644">
        <v>0</v>
      </c>
      <c r="Y1644">
        <v>0</v>
      </c>
      <c r="Z1644">
        <v>0</v>
      </c>
      <c r="AA1644">
        <v>0</v>
      </c>
      <c r="AB1644">
        <v>826</v>
      </c>
    </row>
    <row r="1645" spans="1:28" x14ac:dyDescent="0.25">
      <c r="H1645" t="s">
        <v>1641</v>
      </c>
    </row>
    <row r="1646" spans="1:28" x14ac:dyDescent="0.25">
      <c r="A1646">
        <v>820</v>
      </c>
      <c r="B1646">
        <v>4938</v>
      </c>
      <c r="C1646" t="s">
        <v>3409</v>
      </c>
      <c r="D1646" t="s">
        <v>51</v>
      </c>
      <c r="E1646" t="s">
        <v>80</v>
      </c>
      <c r="F1646" t="s">
        <v>3410</v>
      </c>
      <c r="G1646" t="str">
        <f>"00359483"</f>
        <v>00359483</v>
      </c>
      <c r="H1646">
        <v>726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70</v>
      </c>
      <c r="O1646">
        <v>0</v>
      </c>
      <c r="P1646">
        <v>0</v>
      </c>
      <c r="Q1646">
        <v>30</v>
      </c>
      <c r="R1646">
        <v>0</v>
      </c>
      <c r="S1646">
        <v>0</v>
      </c>
      <c r="T1646">
        <v>0</v>
      </c>
      <c r="U1646">
        <v>0</v>
      </c>
      <c r="V1646">
        <v>0</v>
      </c>
      <c r="X1646">
        <v>1</v>
      </c>
      <c r="Y1646">
        <v>0</v>
      </c>
      <c r="Z1646">
        <v>0</v>
      </c>
      <c r="AA1646">
        <v>0</v>
      </c>
      <c r="AB1646">
        <v>826</v>
      </c>
    </row>
    <row r="1647" spans="1:28" x14ac:dyDescent="0.25">
      <c r="H1647" t="s">
        <v>3411</v>
      </c>
    </row>
    <row r="1648" spans="1:28" x14ac:dyDescent="0.25">
      <c r="A1648">
        <v>821</v>
      </c>
      <c r="B1648">
        <v>3771</v>
      </c>
      <c r="C1648" t="s">
        <v>3412</v>
      </c>
      <c r="D1648" t="s">
        <v>3413</v>
      </c>
      <c r="E1648" t="s">
        <v>51</v>
      </c>
      <c r="F1648" t="s">
        <v>3414</v>
      </c>
      <c r="G1648" t="str">
        <f>"00332921"</f>
        <v>00332921</v>
      </c>
      <c r="H1648" t="s">
        <v>932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50</v>
      </c>
      <c r="O1648">
        <v>0</v>
      </c>
      <c r="P1648">
        <v>30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X1648">
        <v>0</v>
      </c>
      <c r="Y1648">
        <v>0</v>
      </c>
      <c r="Z1648">
        <v>0</v>
      </c>
      <c r="AA1648">
        <v>0</v>
      </c>
      <c r="AB1648" t="s">
        <v>3415</v>
      </c>
    </row>
    <row r="1649" spans="1:28" x14ac:dyDescent="0.25">
      <c r="H1649" t="s">
        <v>514</v>
      </c>
    </row>
    <row r="1650" spans="1:28" x14ac:dyDescent="0.25">
      <c r="A1650">
        <v>822</v>
      </c>
      <c r="B1650">
        <v>1903</v>
      </c>
      <c r="C1650" t="s">
        <v>3416</v>
      </c>
      <c r="D1650" t="s">
        <v>3417</v>
      </c>
      <c r="E1650" t="s">
        <v>2750</v>
      </c>
      <c r="F1650" t="s">
        <v>3418</v>
      </c>
      <c r="G1650" t="str">
        <f>"201406011956"</f>
        <v>201406011956</v>
      </c>
      <c r="H1650" t="s">
        <v>583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70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X1650">
        <v>0</v>
      </c>
      <c r="Y1650">
        <v>0</v>
      </c>
      <c r="Z1650">
        <v>0</v>
      </c>
      <c r="AA1650">
        <v>0</v>
      </c>
      <c r="AB1650" t="s">
        <v>3419</v>
      </c>
    </row>
    <row r="1651" spans="1:28" x14ac:dyDescent="0.25">
      <c r="H1651" t="s">
        <v>3420</v>
      </c>
    </row>
    <row r="1652" spans="1:28" x14ac:dyDescent="0.25">
      <c r="A1652">
        <v>823</v>
      </c>
      <c r="B1652">
        <v>1101</v>
      </c>
      <c r="C1652" t="s">
        <v>3421</v>
      </c>
      <c r="D1652" t="s">
        <v>187</v>
      </c>
      <c r="E1652" t="s">
        <v>15</v>
      </c>
      <c r="F1652" t="s">
        <v>3422</v>
      </c>
      <c r="G1652" t="str">
        <f>"00223089"</f>
        <v>00223089</v>
      </c>
      <c r="H1652" t="s">
        <v>100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X1652">
        <v>0</v>
      </c>
      <c r="Y1652">
        <v>0</v>
      </c>
      <c r="Z1652">
        <v>0</v>
      </c>
      <c r="AA1652">
        <v>0</v>
      </c>
      <c r="AB1652" t="s">
        <v>3423</v>
      </c>
    </row>
    <row r="1653" spans="1:28" x14ac:dyDescent="0.25">
      <c r="H1653" t="s">
        <v>3424</v>
      </c>
    </row>
    <row r="1654" spans="1:28" x14ac:dyDescent="0.25">
      <c r="A1654">
        <v>824</v>
      </c>
      <c r="B1654">
        <v>3790</v>
      </c>
      <c r="C1654" t="s">
        <v>3425</v>
      </c>
      <c r="D1654" t="s">
        <v>3272</v>
      </c>
      <c r="E1654" t="s">
        <v>80</v>
      </c>
      <c r="F1654" t="s">
        <v>3426</v>
      </c>
      <c r="G1654" t="str">
        <f>"00020528"</f>
        <v>00020528</v>
      </c>
      <c r="H1654" t="s">
        <v>1224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X1654">
        <v>0</v>
      </c>
      <c r="Y1654">
        <v>0</v>
      </c>
      <c r="Z1654">
        <v>0</v>
      </c>
      <c r="AA1654">
        <v>0</v>
      </c>
      <c r="AB1654" t="s">
        <v>3427</v>
      </c>
    </row>
    <row r="1655" spans="1:28" x14ac:dyDescent="0.25">
      <c r="H1655">
        <v>1009</v>
      </c>
    </row>
    <row r="1656" spans="1:28" x14ac:dyDescent="0.25">
      <c r="A1656">
        <v>825</v>
      </c>
      <c r="B1656">
        <v>1253</v>
      </c>
      <c r="C1656" t="s">
        <v>3428</v>
      </c>
      <c r="D1656" t="s">
        <v>19</v>
      </c>
      <c r="E1656" t="s">
        <v>80</v>
      </c>
      <c r="F1656" t="s">
        <v>3429</v>
      </c>
      <c r="G1656" t="str">
        <f>"201304000326"</f>
        <v>201304000326</v>
      </c>
      <c r="H1656" t="s">
        <v>243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70</v>
      </c>
      <c r="O1656">
        <v>0</v>
      </c>
      <c r="P1656">
        <v>0</v>
      </c>
      <c r="Q1656">
        <v>30</v>
      </c>
      <c r="R1656">
        <v>0</v>
      </c>
      <c r="S1656">
        <v>0</v>
      </c>
      <c r="T1656">
        <v>0</v>
      </c>
      <c r="U1656">
        <v>0</v>
      </c>
      <c r="V1656">
        <v>0</v>
      </c>
      <c r="X1656">
        <v>0</v>
      </c>
      <c r="Y1656">
        <v>0</v>
      </c>
      <c r="Z1656">
        <v>0</v>
      </c>
      <c r="AA1656">
        <v>0</v>
      </c>
      <c r="AB1656" t="s">
        <v>3430</v>
      </c>
    </row>
    <row r="1657" spans="1:28" x14ac:dyDescent="0.25">
      <c r="H1657" t="s">
        <v>3431</v>
      </c>
    </row>
    <row r="1658" spans="1:28" x14ac:dyDescent="0.25">
      <c r="A1658">
        <v>826</v>
      </c>
      <c r="B1658">
        <v>1325</v>
      </c>
      <c r="C1658" t="s">
        <v>3432</v>
      </c>
      <c r="D1658" t="s">
        <v>20</v>
      </c>
      <c r="E1658" t="s">
        <v>50</v>
      </c>
      <c r="F1658" t="s">
        <v>3433</v>
      </c>
      <c r="G1658" t="str">
        <f>"201509000023"</f>
        <v>201509000023</v>
      </c>
      <c r="H1658" t="s">
        <v>1229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70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X1658">
        <v>0</v>
      </c>
      <c r="Y1658">
        <v>0</v>
      </c>
      <c r="Z1658">
        <v>0</v>
      </c>
      <c r="AA1658">
        <v>0</v>
      </c>
      <c r="AB1658" t="s">
        <v>3434</v>
      </c>
    </row>
    <row r="1659" spans="1:28" x14ac:dyDescent="0.25">
      <c r="H1659" t="s">
        <v>3435</v>
      </c>
    </row>
    <row r="1660" spans="1:28" x14ac:dyDescent="0.25">
      <c r="A1660">
        <v>827</v>
      </c>
      <c r="B1660">
        <v>4032</v>
      </c>
      <c r="C1660" t="s">
        <v>3436</v>
      </c>
      <c r="D1660" t="s">
        <v>19</v>
      </c>
      <c r="E1660" t="s">
        <v>155</v>
      </c>
      <c r="F1660" t="s">
        <v>3437</v>
      </c>
      <c r="G1660" t="str">
        <f>"00234908"</f>
        <v>00234908</v>
      </c>
      <c r="H1660" t="s">
        <v>1540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X1660">
        <v>0</v>
      </c>
      <c r="Y1660">
        <v>0</v>
      </c>
      <c r="Z1660">
        <v>0</v>
      </c>
      <c r="AA1660">
        <v>0</v>
      </c>
      <c r="AB1660" t="s">
        <v>3438</v>
      </c>
    </row>
    <row r="1661" spans="1:28" x14ac:dyDescent="0.25">
      <c r="H1661" t="s">
        <v>3439</v>
      </c>
    </row>
    <row r="1662" spans="1:28" x14ac:dyDescent="0.25">
      <c r="A1662">
        <v>828</v>
      </c>
      <c r="B1662">
        <v>116</v>
      </c>
      <c r="C1662" t="s">
        <v>3440</v>
      </c>
      <c r="D1662" t="s">
        <v>179</v>
      </c>
      <c r="E1662" t="s">
        <v>44</v>
      </c>
      <c r="F1662" t="s">
        <v>3441</v>
      </c>
      <c r="G1662" t="str">
        <f>"201406004498"</f>
        <v>201406004498</v>
      </c>
      <c r="H1662" t="s">
        <v>395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50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X1662">
        <v>1</v>
      </c>
      <c r="Y1662">
        <v>0</v>
      </c>
      <c r="Z1662">
        <v>0</v>
      </c>
      <c r="AA1662">
        <v>0</v>
      </c>
      <c r="AB1662" t="s">
        <v>3442</v>
      </c>
    </row>
    <row r="1663" spans="1:28" x14ac:dyDescent="0.25">
      <c r="H1663" t="s">
        <v>2219</v>
      </c>
    </row>
    <row r="1664" spans="1:28" x14ac:dyDescent="0.25">
      <c r="A1664">
        <v>829</v>
      </c>
      <c r="B1664">
        <v>2533</v>
      </c>
      <c r="C1664" t="s">
        <v>3443</v>
      </c>
      <c r="D1664" t="s">
        <v>3444</v>
      </c>
      <c r="E1664" t="s">
        <v>20</v>
      </c>
      <c r="F1664" t="s">
        <v>3445</v>
      </c>
      <c r="G1664" t="str">
        <f>"00229132"</f>
        <v>00229132</v>
      </c>
      <c r="H1664" t="s">
        <v>1648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70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X1664">
        <v>0</v>
      </c>
      <c r="Y1664">
        <v>0</v>
      </c>
      <c r="Z1664">
        <v>0</v>
      </c>
      <c r="AA1664">
        <v>0</v>
      </c>
      <c r="AB1664" t="s">
        <v>3446</v>
      </c>
    </row>
    <row r="1665" spans="1:28" x14ac:dyDescent="0.25">
      <c r="H1665" t="s">
        <v>3447</v>
      </c>
    </row>
    <row r="1666" spans="1:28" x14ac:dyDescent="0.25">
      <c r="A1666">
        <v>830</v>
      </c>
      <c r="B1666">
        <v>1935</v>
      </c>
      <c r="C1666" t="s">
        <v>3448</v>
      </c>
      <c r="D1666" t="s">
        <v>202</v>
      </c>
      <c r="E1666" t="s">
        <v>155</v>
      </c>
      <c r="F1666" t="s">
        <v>3449</v>
      </c>
      <c r="G1666" t="str">
        <f>"00236112"</f>
        <v>00236112</v>
      </c>
      <c r="H1666" t="s">
        <v>267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70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X1666">
        <v>0</v>
      </c>
      <c r="Y1666">
        <v>0</v>
      </c>
      <c r="Z1666">
        <v>0</v>
      </c>
      <c r="AA1666">
        <v>0</v>
      </c>
      <c r="AB1666" t="s">
        <v>3450</v>
      </c>
    </row>
    <row r="1667" spans="1:28" x14ac:dyDescent="0.25">
      <c r="H1667" t="s">
        <v>3451</v>
      </c>
    </row>
    <row r="1668" spans="1:28" x14ac:dyDescent="0.25">
      <c r="A1668">
        <v>831</v>
      </c>
      <c r="B1668">
        <v>1226</v>
      </c>
      <c r="C1668" t="s">
        <v>3452</v>
      </c>
      <c r="D1668" t="s">
        <v>187</v>
      </c>
      <c r="E1668" t="s">
        <v>14</v>
      </c>
      <c r="F1668" t="s">
        <v>3453</v>
      </c>
      <c r="G1668" t="str">
        <f>"00309610"</f>
        <v>00309610</v>
      </c>
      <c r="H1668">
        <v>770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50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X1668">
        <v>0</v>
      </c>
      <c r="Y1668">
        <v>0</v>
      </c>
      <c r="Z1668">
        <v>0</v>
      </c>
      <c r="AA1668">
        <v>0</v>
      </c>
      <c r="AB1668">
        <v>820</v>
      </c>
    </row>
    <row r="1669" spans="1:28" x14ac:dyDescent="0.25">
      <c r="H1669" t="s">
        <v>379</v>
      </c>
    </row>
    <row r="1670" spans="1:28" x14ac:dyDescent="0.25">
      <c r="A1670">
        <v>832</v>
      </c>
      <c r="B1670">
        <v>1336</v>
      </c>
      <c r="C1670" t="s">
        <v>3454</v>
      </c>
      <c r="D1670" t="s">
        <v>19</v>
      </c>
      <c r="E1670" t="s">
        <v>50</v>
      </c>
      <c r="F1670" t="s">
        <v>3455</v>
      </c>
      <c r="G1670" t="str">
        <f>"201406010792"</f>
        <v>201406010792</v>
      </c>
      <c r="H1670">
        <v>660</v>
      </c>
      <c r="I1670">
        <v>0</v>
      </c>
      <c r="J1670">
        <v>0</v>
      </c>
      <c r="K1670">
        <v>0</v>
      </c>
      <c r="L1670">
        <v>0</v>
      </c>
      <c r="M1670">
        <v>100</v>
      </c>
      <c r="N1670">
        <v>30</v>
      </c>
      <c r="O1670">
        <v>0</v>
      </c>
      <c r="P1670">
        <v>30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X1670">
        <v>0</v>
      </c>
      <c r="Y1670">
        <v>0</v>
      </c>
      <c r="Z1670">
        <v>0</v>
      </c>
      <c r="AA1670">
        <v>0</v>
      </c>
      <c r="AB1670">
        <v>820</v>
      </c>
    </row>
    <row r="1671" spans="1:28" x14ac:dyDescent="0.25">
      <c r="H1671">
        <v>1009</v>
      </c>
    </row>
    <row r="1672" spans="1:28" x14ac:dyDescent="0.25">
      <c r="A1672">
        <v>833</v>
      </c>
      <c r="B1672">
        <v>2884</v>
      </c>
      <c r="C1672" t="s">
        <v>3456</v>
      </c>
      <c r="D1672" t="s">
        <v>3457</v>
      </c>
      <c r="E1672" t="s">
        <v>277</v>
      </c>
      <c r="F1672" t="s">
        <v>3458</v>
      </c>
      <c r="G1672" t="str">
        <f>"00106993"</f>
        <v>00106993</v>
      </c>
      <c r="H1672" t="s">
        <v>608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X1672">
        <v>0</v>
      </c>
      <c r="Y1672">
        <v>0</v>
      </c>
      <c r="Z1672">
        <v>0</v>
      </c>
      <c r="AA1672">
        <v>0</v>
      </c>
      <c r="AB1672" t="s">
        <v>3459</v>
      </c>
    </row>
    <row r="1673" spans="1:28" x14ac:dyDescent="0.25">
      <c r="H1673" t="s">
        <v>3460</v>
      </c>
    </row>
    <row r="1674" spans="1:28" x14ac:dyDescent="0.25">
      <c r="A1674">
        <v>834</v>
      </c>
      <c r="B1674">
        <v>2517</v>
      </c>
      <c r="C1674" t="s">
        <v>3461</v>
      </c>
      <c r="D1674" t="s">
        <v>155</v>
      </c>
      <c r="E1674" t="s">
        <v>311</v>
      </c>
      <c r="F1674" t="s">
        <v>3462</v>
      </c>
      <c r="G1674" t="str">
        <f>"201505000295"</f>
        <v>201505000295</v>
      </c>
      <c r="H1674" t="s">
        <v>1750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50</v>
      </c>
      <c r="O1674">
        <v>50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X1674">
        <v>0</v>
      </c>
      <c r="Y1674">
        <v>0</v>
      </c>
      <c r="Z1674">
        <v>0</v>
      </c>
      <c r="AA1674">
        <v>0</v>
      </c>
      <c r="AB1674" t="s">
        <v>3463</v>
      </c>
    </row>
    <row r="1675" spans="1:28" x14ac:dyDescent="0.25">
      <c r="H1675" t="s">
        <v>3464</v>
      </c>
    </row>
    <row r="1676" spans="1:28" x14ac:dyDescent="0.25">
      <c r="A1676">
        <v>835</v>
      </c>
      <c r="B1676">
        <v>3155</v>
      </c>
      <c r="C1676" t="s">
        <v>1152</v>
      </c>
      <c r="D1676" t="s">
        <v>51</v>
      </c>
      <c r="E1676" t="s">
        <v>44</v>
      </c>
      <c r="F1676" t="s">
        <v>3465</v>
      </c>
      <c r="G1676" t="str">
        <f>"201406018250"</f>
        <v>201406018250</v>
      </c>
      <c r="H1676" t="s">
        <v>284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70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X1676">
        <v>0</v>
      </c>
      <c r="Y1676">
        <v>0</v>
      </c>
      <c r="Z1676">
        <v>0</v>
      </c>
      <c r="AA1676">
        <v>0</v>
      </c>
      <c r="AB1676" t="s">
        <v>3466</v>
      </c>
    </row>
    <row r="1677" spans="1:28" x14ac:dyDescent="0.25">
      <c r="H1677" t="s">
        <v>3345</v>
      </c>
    </row>
    <row r="1678" spans="1:28" x14ac:dyDescent="0.25">
      <c r="A1678">
        <v>836</v>
      </c>
      <c r="B1678">
        <v>4923</v>
      </c>
      <c r="C1678" t="s">
        <v>3467</v>
      </c>
      <c r="D1678" t="s">
        <v>26</v>
      </c>
      <c r="E1678" t="s">
        <v>38</v>
      </c>
      <c r="F1678" t="s">
        <v>3468</v>
      </c>
      <c r="G1678" t="str">
        <f>"00270496"</f>
        <v>00270496</v>
      </c>
      <c r="H1678" t="s">
        <v>106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X1678">
        <v>0</v>
      </c>
      <c r="Y1678">
        <v>0</v>
      </c>
      <c r="Z1678">
        <v>0</v>
      </c>
      <c r="AA1678">
        <v>0</v>
      </c>
      <c r="AB1678" t="s">
        <v>3469</v>
      </c>
    </row>
    <row r="1679" spans="1:28" x14ac:dyDescent="0.25">
      <c r="H1679" t="s">
        <v>3470</v>
      </c>
    </row>
    <row r="1680" spans="1:28" x14ac:dyDescent="0.25">
      <c r="A1680">
        <v>837</v>
      </c>
      <c r="B1680">
        <v>4071</v>
      </c>
      <c r="C1680" t="s">
        <v>3471</v>
      </c>
      <c r="D1680" t="s">
        <v>80</v>
      </c>
      <c r="E1680" t="s">
        <v>2695</v>
      </c>
      <c r="F1680" t="s">
        <v>3472</v>
      </c>
      <c r="G1680" t="str">
        <f>"201402009171"</f>
        <v>201402009171</v>
      </c>
      <c r="H1680">
        <v>748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70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X1680">
        <v>0</v>
      </c>
      <c r="Y1680">
        <v>0</v>
      </c>
      <c r="Z1680">
        <v>0</v>
      </c>
      <c r="AA1680">
        <v>0</v>
      </c>
      <c r="AB1680">
        <v>818</v>
      </c>
    </row>
    <row r="1681" spans="1:28" x14ac:dyDescent="0.25">
      <c r="H1681" t="s">
        <v>409</v>
      </c>
    </row>
    <row r="1682" spans="1:28" x14ac:dyDescent="0.25">
      <c r="A1682">
        <v>838</v>
      </c>
      <c r="B1682">
        <v>5093</v>
      </c>
      <c r="C1682" t="s">
        <v>3473</v>
      </c>
      <c r="D1682" t="s">
        <v>98</v>
      </c>
      <c r="E1682" t="s">
        <v>44</v>
      </c>
      <c r="F1682" t="s">
        <v>3474</v>
      </c>
      <c r="G1682" t="str">
        <f>"00371026"</f>
        <v>00371026</v>
      </c>
      <c r="H1682">
        <v>748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70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X1682">
        <v>0</v>
      </c>
      <c r="Y1682">
        <v>0</v>
      </c>
      <c r="Z1682">
        <v>0</v>
      </c>
      <c r="AA1682">
        <v>0</v>
      </c>
      <c r="AB1682">
        <v>818</v>
      </c>
    </row>
    <row r="1683" spans="1:28" x14ac:dyDescent="0.25">
      <c r="H1683" t="s">
        <v>3475</v>
      </c>
    </row>
    <row r="1684" spans="1:28" x14ac:dyDescent="0.25">
      <c r="A1684">
        <v>839</v>
      </c>
      <c r="B1684">
        <v>454</v>
      </c>
      <c r="C1684" t="s">
        <v>3476</v>
      </c>
      <c r="D1684" t="s">
        <v>1999</v>
      </c>
      <c r="E1684" t="s">
        <v>212</v>
      </c>
      <c r="F1684" t="s">
        <v>3477</v>
      </c>
      <c r="G1684" t="str">
        <f>"200801011199"</f>
        <v>200801011199</v>
      </c>
      <c r="H1684" t="s">
        <v>1762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50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X1684">
        <v>0</v>
      </c>
      <c r="Y1684">
        <v>0</v>
      </c>
      <c r="Z1684">
        <v>0</v>
      </c>
      <c r="AA1684">
        <v>0</v>
      </c>
      <c r="AB1684" t="s">
        <v>3478</v>
      </c>
    </row>
    <row r="1685" spans="1:28" x14ac:dyDescent="0.25">
      <c r="H1685" t="s">
        <v>3479</v>
      </c>
    </row>
    <row r="1686" spans="1:28" x14ac:dyDescent="0.25">
      <c r="A1686">
        <v>840</v>
      </c>
      <c r="B1686">
        <v>3399</v>
      </c>
      <c r="C1686" t="s">
        <v>3480</v>
      </c>
      <c r="D1686" t="s">
        <v>3481</v>
      </c>
      <c r="E1686" t="s">
        <v>3482</v>
      </c>
      <c r="F1686" t="s">
        <v>3483</v>
      </c>
      <c r="G1686" t="str">
        <f>"201406004285"</f>
        <v>201406004285</v>
      </c>
      <c r="H1686" t="s">
        <v>972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70</v>
      </c>
      <c r="O1686">
        <v>30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X1686">
        <v>0</v>
      </c>
      <c r="Y1686">
        <v>0</v>
      </c>
      <c r="Z1686">
        <v>0</v>
      </c>
      <c r="AA1686">
        <v>0</v>
      </c>
      <c r="AB1686" t="s">
        <v>3484</v>
      </c>
    </row>
    <row r="1687" spans="1:28" x14ac:dyDescent="0.25">
      <c r="H1687">
        <v>1009</v>
      </c>
    </row>
    <row r="1688" spans="1:28" x14ac:dyDescent="0.25">
      <c r="A1688">
        <v>841</v>
      </c>
      <c r="B1688">
        <v>1514</v>
      </c>
      <c r="C1688" t="s">
        <v>3485</v>
      </c>
      <c r="D1688" t="s">
        <v>3486</v>
      </c>
      <c r="E1688" t="s">
        <v>3487</v>
      </c>
      <c r="F1688" t="s">
        <v>3488</v>
      </c>
      <c r="G1688" t="str">
        <f>"00278683"</f>
        <v>00278683</v>
      </c>
      <c r="H1688" t="s">
        <v>1965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X1688">
        <v>0</v>
      </c>
      <c r="Y1688">
        <v>0</v>
      </c>
      <c r="Z1688">
        <v>0</v>
      </c>
      <c r="AA1688">
        <v>0</v>
      </c>
      <c r="AB1688" t="s">
        <v>3489</v>
      </c>
    </row>
    <row r="1689" spans="1:28" x14ac:dyDescent="0.25">
      <c r="H1689" t="s">
        <v>3490</v>
      </c>
    </row>
    <row r="1690" spans="1:28" x14ac:dyDescent="0.25">
      <c r="A1690">
        <v>842</v>
      </c>
      <c r="B1690">
        <v>4464</v>
      </c>
      <c r="C1690" t="s">
        <v>3491</v>
      </c>
      <c r="D1690" t="s">
        <v>179</v>
      </c>
      <c r="E1690" t="s">
        <v>762</v>
      </c>
      <c r="F1690" t="s">
        <v>3492</v>
      </c>
      <c r="G1690" t="str">
        <f>"201303000331"</f>
        <v>201303000331</v>
      </c>
      <c r="H1690" t="s">
        <v>1603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X1690">
        <v>0</v>
      </c>
      <c r="Y1690">
        <v>0</v>
      </c>
      <c r="Z1690">
        <v>0</v>
      </c>
      <c r="AA1690">
        <v>0</v>
      </c>
      <c r="AB1690" t="s">
        <v>3493</v>
      </c>
    </row>
    <row r="1691" spans="1:28" x14ac:dyDescent="0.25">
      <c r="H1691" t="s">
        <v>3494</v>
      </c>
    </row>
    <row r="1692" spans="1:28" x14ac:dyDescent="0.25">
      <c r="A1692">
        <v>843</v>
      </c>
      <c r="B1692">
        <v>1929</v>
      </c>
      <c r="C1692" t="s">
        <v>3495</v>
      </c>
      <c r="D1692" t="s">
        <v>187</v>
      </c>
      <c r="E1692" t="s">
        <v>311</v>
      </c>
      <c r="F1692" t="s">
        <v>3496</v>
      </c>
      <c r="G1692" t="str">
        <f>"201406000130"</f>
        <v>201406000130</v>
      </c>
      <c r="H1692" t="s">
        <v>3282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70</v>
      </c>
      <c r="O1692">
        <v>30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X1692">
        <v>1</v>
      </c>
      <c r="Y1692">
        <v>0</v>
      </c>
      <c r="Z1692">
        <v>0</v>
      </c>
      <c r="AA1692">
        <v>0</v>
      </c>
      <c r="AB1692" t="s">
        <v>3497</v>
      </c>
    </row>
    <row r="1693" spans="1:28" x14ac:dyDescent="0.25">
      <c r="H1693" t="s">
        <v>3498</v>
      </c>
    </row>
    <row r="1694" spans="1:28" x14ac:dyDescent="0.25">
      <c r="A1694">
        <v>844</v>
      </c>
      <c r="B1694">
        <v>3821</v>
      </c>
      <c r="C1694" t="s">
        <v>3211</v>
      </c>
      <c r="D1694" t="s">
        <v>2541</v>
      </c>
      <c r="E1694" t="s">
        <v>218</v>
      </c>
      <c r="F1694" t="s">
        <v>3499</v>
      </c>
      <c r="G1694" t="str">
        <f>"200809000665"</f>
        <v>200809000665</v>
      </c>
      <c r="H1694" t="s">
        <v>932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70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X1694">
        <v>0</v>
      </c>
      <c r="Y1694">
        <v>0</v>
      </c>
      <c r="Z1694">
        <v>0</v>
      </c>
      <c r="AA1694">
        <v>0</v>
      </c>
      <c r="AB1694" t="s">
        <v>3500</v>
      </c>
    </row>
    <row r="1695" spans="1:28" x14ac:dyDescent="0.25">
      <c r="H1695" t="s">
        <v>3501</v>
      </c>
    </row>
    <row r="1696" spans="1:28" x14ac:dyDescent="0.25">
      <c r="A1696">
        <v>845</v>
      </c>
      <c r="B1696">
        <v>1302</v>
      </c>
      <c r="C1696" t="s">
        <v>3502</v>
      </c>
      <c r="D1696" t="s">
        <v>3503</v>
      </c>
      <c r="E1696" t="s">
        <v>80</v>
      </c>
      <c r="F1696" t="s">
        <v>3504</v>
      </c>
      <c r="G1696" t="str">
        <f>"00013248"</f>
        <v>00013248</v>
      </c>
      <c r="H1696" t="s">
        <v>932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70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X1696">
        <v>0</v>
      </c>
      <c r="Y1696">
        <v>0</v>
      </c>
      <c r="Z1696">
        <v>0</v>
      </c>
      <c r="AA1696">
        <v>0</v>
      </c>
      <c r="AB1696" t="s">
        <v>3500</v>
      </c>
    </row>
    <row r="1697" spans="1:28" x14ac:dyDescent="0.25">
      <c r="H1697" t="s">
        <v>3505</v>
      </c>
    </row>
    <row r="1698" spans="1:28" x14ac:dyDescent="0.25">
      <c r="A1698">
        <v>846</v>
      </c>
      <c r="B1698">
        <v>3664</v>
      </c>
      <c r="C1698" t="s">
        <v>3506</v>
      </c>
      <c r="D1698" t="s">
        <v>339</v>
      </c>
      <c r="E1698" t="s">
        <v>2249</v>
      </c>
      <c r="F1698" t="s">
        <v>3507</v>
      </c>
      <c r="G1698" t="str">
        <f>"201406002357"</f>
        <v>201406002357</v>
      </c>
      <c r="H1698" t="s">
        <v>2805</v>
      </c>
      <c r="I1698">
        <v>0</v>
      </c>
      <c r="J1698">
        <v>0</v>
      </c>
      <c r="K1698">
        <v>0</v>
      </c>
      <c r="L1698">
        <v>0</v>
      </c>
      <c r="M1698">
        <v>100</v>
      </c>
      <c r="N1698">
        <v>30</v>
      </c>
      <c r="O1698">
        <v>0</v>
      </c>
      <c r="P1698">
        <v>50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X1698">
        <v>0</v>
      </c>
      <c r="Y1698">
        <v>0</v>
      </c>
      <c r="Z1698">
        <v>0</v>
      </c>
      <c r="AA1698">
        <v>0</v>
      </c>
      <c r="AB1698" t="s">
        <v>3500</v>
      </c>
    </row>
    <row r="1699" spans="1:28" x14ac:dyDescent="0.25">
      <c r="H1699" t="s">
        <v>3508</v>
      </c>
    </row>
    <row r="1700" spans="1:28" x14ac:dyDescent="0.25">
      <c r="A1700">
        <v>847</v>
      </c>
      <c r="B1700">
        <v>4345</v>
      </c>
      <c r="C1700" t="s">
        <v>3509</v>
      </c>
      <c r="D1700" t="s">
        <v>218</v>
      </c>
      <c r="E1700" t="s">
        <v>20</v>
      </c>
      <c r="F1700" t="s">
        <v>3510</v>
      </c>
      <c r="G1700" t="str">
        <f>"00010969"</f>
        <v>00010969</v>
      </c>
      <c r="H1700">
        <v>715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70</v>
      </c>
      <c r="O1700">
        <v>30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X1700">
        <v>0</v>
      </c>
      <c r="Y1700">
        <v>0</v>
      </c>
      <c r="Z1700">
        <v>0</v>
      </c>
      <c r="AA1700">
        <v>0</v>
      </c>
      <c r="AB1700">
        <v>815</v>
      </c>
    </row>
    <row r="1701" spans="1:28" x14ac:dyDescent="0.25">
      <c r="H1701" t="s">
        <v>3511</v>
      </c>
    </row>
    <row r="1702" spans="1:28" x14ac:dyDescent="0.25">
      <c r="A1702">
        <v>848</v>
      </c>
      <c r="B1702">
        <v>279</v>
      </c>
      <c r="C1702" t="s">
        <v>1552</v>
      </c>
      <c r="D1702" t="s">
        <v>480</v>
      </c>
      <c r="E1702" t="s">
        <v>3512</v>
      </c>
      <c r="F1702" t="s">
        <v>3513</v>
      </c>
      <c r="G1702" t="str">
        <f>"00242005"</f>
        <v>00242005</v>
      </c>
      <c r="H1702" t="s">
        <v>696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70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X1702">
        <v>0</v>
      </c>
      <c r="Y1702">
        <v>0</v>
      </c>
      <c r="Z1702">
        <v>0</v>
      </c>
      <c r="AA1702">
        <v>0</v>
      </c>
      <c r="AB1702" t="s">
        <v>3514</v>
      </c>
    </row>
    <row r="1703" spans="1:28" x14ac:dyDescent="0.25">
      <c r="H1703">
        <v>1009</v>
      </c>
    </row>
    <row r="1704" spans="1:28" x14ac:dyDescent="0.25">
      <c r="A1704">
        <v>849</v>
      </c>
      <c r="B1704">
        <v>185</v>
      </c>
      <c r="C1704" t="s">
        <v>3515</v>
      </c>
      <c r="D1704" t="s">
        <v>19</v>
      </c>
      <c r="E1704" t="s">
        <v>2607</v>
      </c>
      <c r="F1704" t="s">
        <v>3516</v>
      </c>
      <c r="G1704" t="str">
        <f>"00119841"</f>
        <v>00119841</v>
      </c>
      <c r="H1704" t="s">
        <v>898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X1704">
        <v>0</v>
      </c>
      <c r="Y1704">
        <v>0</v>
      </c>
      <c r="Z1704">
        <v>0</v>
      </c>
      <c r="AA1704">
        <v>0</v>
      </c>
      <c r="AB1704" t="s">
        <v>3517</v>
      </c>
    </row>
    <row r="1705" spans="1:28" x14ac:dyDescent="0.25">
      <c r="H1705" t="s">
        <v>3518</v>
      </c>
    </row>
    <row r="1706" spans="1:28" x14ac:dyDescent="0.25">
      <c r="A1706">
        <v>850</v>
      </c>
      <c r="B1706">
        <v>2669</v>
      </c>
      <c r="C1706" t="s">
        <v>3519</v>
      </c>
      <c r="D1706" t="s">
        <v>3520</v>
      </c>
      <c r="E1706" t="s">
        <v>3521</v>
      </c>
      <c r="F1706" t="s">
        <v>3522</v>
      </c>
      <c r="G1706" t="str">
        <f>"201406008331"</f>
        <v>201406008331</v>
      </c>
      <c r="H1706" t="s">
        <v>898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30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X1706">
        <v>0</v>
      </c>
      <c r="Y1706">
        <v>0</v>
      </c>
      <c r="Z1706">
        <v>0</v>
      </c>
      <c r="AA1706">
        <v>0</v>
      </c>
      <c r="AB1706" t="s">
        <v>3517</v>
      </c>
    </row>
    <row r="1707" spans="1:28" x14ac:dyDescent="0.25">
      <c r="H1707" t="s">
        <v>3523</v>
      </c>
    </row>
    <row r="1708" spans="1:28" x14ac:dyDescent="0.25">
      <c r="A1708">
        <v>851</v>
      </c>
      <c r="B1708">
        <v>3858</v>
      </c>
      <c r="C1708" t="s">
        <v>3524</v>
      </c>
      <c r="D1708" t="s">
        <v>80</v>
      </c>
      <c r="E1708" t="s">
        <v>51</v>
      </c>
      <c r="F1708" t="s">
        <v>3525</v>
      </c>
      <c r="G1708" t="str">
        <f>"201406001967"</f>
        <v>201406001967</v>
      </c>
      <c r="H1708" t="s">
        <v>1714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70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X1708">
        <v>0</v>
      </c>
      <c r="Y1708">
        <v>0</v>
      </c>
      <c r="Z1708">
        <v>0</v>
      </c>
      <c r="AA1708">
        <v>0</v>
      </c>
      <c r="AB1708" t="s">
        <v>3526</v>
      </c>
    </row>
    <row r="1709" spans="1:28" x14ac:dyDescent="0.25">
      <c r="H1709" t="s">
        <v>3527</v>
      </c>
    </row>
    <row r="1710" spans="1:28" x14ac:dyDescent="0.25">
      <c r="A1710">
        <v>852</v>
      </c>
      <c r="B1710">
        <v>2426</v>
      </c>
      <c r="C1710" t="s">
        <v>3528</v>
      </c>
      <c r="D1710" t="s">
        <v>3272</v>
      </c>
      <c r="E1710" t="s">
        <v>50</v>
      </c>
      <c r="F1710" t="s">
        <v>3529</v>
      </c>
      <c r="G1710" t="str">
        <f>"00364125"</f>
        <v>00364125</v>
      </c>
      <c r="H1710" t="s">
        <v>34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50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X1710">
        <v>0</v>
      </c>
      <c r="Y1710">
        <v>0</v>
      </c>
      <c r="Z1710">
        <v>0</v>
      </c>
      <c r="AA1710">
        <v>0</v>
      </c>
      <c r="AB1710" t="s">
        <v>3530</v>
      </c>
    </row>
    <row r="1711" spans="1:28" x14ac:dyDescent="0.25">
      <c r="H1711" t="s">
        <v>3531</v>
      </c>
    </row>
    <row r="1712" spans="1:28" x14ac:dyDescent="0.25">
      <c r="A1712">
        <v>853</v>
      </c>
      <c r="B1712">
        <v>832</v>
      </c>
      <c r="C1712" t="s">
        <v>3532</v>
      </c>
      <c r="D1712" t="s">
        <v>265</v>
      </c>
      <c r="E1712" t="s">
        <v>51</v>
      </c>
      <c r="F1712" t="s">
        <v>3533</v>
      </c>
      <c r="G1712" t="str">
        <f>"201411001529"</f>
        <v>201411001529</v>
      </c>
      <c r="H1712" t="s">
        <v>712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X1712">
        <v>0</v>
      </c>
      <c r="Y1712">
        <v>0</v>
      </c>
      <c r="Z1712">
        <v>0</v>
      </c>
      <c r="AA1712">
        <v>0</v>
      </c>
      <c r="AB1712" t="s">
        <v>3534</v>
      </c>
    </row>
    <row r="1713" spans="1:28" x14ac:dyDescent="0.25">
      <c r="H1713" t="s">
        <v>3535</v>
      </c>
    </row>
    <row r="1714" spans="1:28" x14ac:dyDescent="0.25">
      <c r="A1714">
        <v>854</v>
      </c>
      <c r="B1714">
        <v>4494</v>
      </c>
      <c r="C1714" t="s">
        <v>3536</v>
      </c>
      <c r="D1714" t="s">
        <v>306</v>
      </c>
      <c r="E1714" t="s">
        <v>2152</v>
      </c>
      <c r="F1714" t="s">
        <v>3537</v>
      </c>
      <c r="G1714" t="str">
        <f>"200803000524"</f>
        <v>200803000524</v>
      </c>
      <c r="H1714">
        <v>693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50</v>
      </c>
      <c r="O1714">
        <v>0</v>
      </c>
      <c r="P1714">
        <v>70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X1714">
        <v>0</v>
      </c>
      <c r="Y1714">
        <v>0</v>
      </c>
      <c r="Z1714">
        <v>0</v>
      </c>
      <c r="AA1714">
        <v>0</v>
      </c>
      <c r="AB1714">
        <v>813</v>
      </c>
    </row>
    <row r="1715" spans="1:28" x14ac:dyDescent="0.25">
      <c r="H1715" t="s">
        <v>3538</v>
      </c>
    </row>
    <row r="1716" spans="1:28" x14ac:dyDescent="0.25">
      <c r="A1716">
        <v>855</v>
      </c>
      <c r="B1716">
        <v>593</v>
      </c>
      <c r="C1716" t="s">
        <v>3539</v>
      </c>
      <c r="D1716" t="s">
        <v>1309</v>
      </c>
      <c r="E1716" t="s">
        <v>51</v>
      </c>
      <c r="F1716" t="s">
        <v>3540</v>
      </c>
      <c r="G1716" t="str">
        <f>"00088651"</f>
        <v>00088651</v>
      </c>
      <c r="H1716">
        <v>693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70</v>
      </c>
      <c r="O1716">
        <v>0</v>
      </c>
      <c r="P1716">
        <v>50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X1716">
        <v>0</v>
      </c>
      <c r="Y1716">
        <v>0</v>
      </c>
      <c r="Z1716">
        <v>0</v>
      </c>
      <c r="AA1716">
        <v>0</v>
      </c>
      <c r="AB1716">
        <v>813</v>
      </c>
    </row>
    <row r="1717" spans="1:28" x14ac:dyDescent="0.25">
      <c r="H1717" t="s">
        <v>3541</v>
      </c>
    </row>
    <row r="1718" spans="1:28" x14ac:dyDescent="0.25">
      <c r="A1718">
        <v>856</v>
      </c>
      <c r="B1718">
        <v>1778</v>
      </c>
      <c r="C1718" t="s">
        <v>3542</v>
      </c>
      <c r="D1718" t="s">
        <v>3543</v>
      </c>
      <c r="E1718" t="s">
        <v>38</v>
      </c>
      <c r="F1718" t="s">
        <v>3544</v>
      </c>
      <c r="G1718" t="str">
        <f>"201406011791"</f>
        <v>201406011791</v>
      </c>
      <c r="H1718" t="s">
        <v>977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70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X1718">
        <v>0</v>
      </c>
      <c r="Y1718">
        <v>0</v>
      </c>
      <c r="Z1718">
        <v>0</v>
      </c>
      <c r="AA1718">
        <v>0</v>
      </c>
      <c r="AB1718" t="s">
        <v>3545</v>
      </c>
    </row>
    <row r="1719" spans="1:28" x14ac:dyDescent="0.25">
      <c r="H1719" t="s">
        <v>3546</v>
      </c>
    </row>
    <row r="1720" spans="1:28" x14ac:dyDescent="0.25">
      <c r="A1720">
        <v>857</v>
      </c>
      <c r="B1720">
        <v>1735</v>
      </c>
      <c r="C1720" t="s">
        <v>3547</v>
      </c>
      <c r="D1720" t="s">
        <v>117</v>
      </c>
      <c r="E1720" t="s">
        <v>14</v>
      </c>
      <c r="F1720" t="s">
        <v>3548</v>
      </c>
      <c r="G1720" t="str">
        <f>"00295543"</f>
        <v>00295543</v>
      </c>
      <c r="H1720" t="s">
        <v>1249</v>
      </c>
      <c r="I1720">
        <v>0</v>
      </c>
      <c r="J1720">
        <v>0</v>
      </c>
      <c r="K1720">
        <v>0</v>
      </c>
      <c r="L1720">
        <v>0</v>
      </c>
      <c r="M1720">
        <v>100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X1720">
        <v>0</v>
      </c>
      <c r="Y1720">
        <v>0</v>
      </c>
      <c r="Z1720">
        <v>0</v>
      </c>
      <c r="AA1720">
        <v>0</v>
      </c>
      <c r="AB1720" t="s">
        <v>3549</v>
      </c>
    </row>
    <row r="1721" spans="1:28" x14ac:dyDescent="0.25">
      <c r="H1721" t="s">
        <v>3550</v>
      </c>
    </row>
    <row r="1722" spans="1:28" x14ac:dyDescent="0.25">
      <c r="A1722">
        <v>858</v>
      </c>
      <c r="B1722">
        <v>4800</v>
      </c>
      <c r="C1722" t="s">
        <v>3551</v>
      </c>
      <c r="D1722" t="s">
        <v>3552</v>
      </c>
      <c r="E1722" t="s">
        <v>154</v>
      </c>
      <c r="F1722" t="s">
        <v>3553</v>
      </c>
      <c r="G1722" t="str">
        <f>"00164050"</f>
        <v>00164050</v>
      </c>
      <c r="H1722" t="s">
        <v>2001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70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X1722">
        <v>0</v>
      </c>
      <c r="Y1722">
        <v>0</v>
      </c>
      <c r="Z1722">
        <v>0</v>
      </c>
      <c r="AA1722">
        <v>0</v>
      </c>
      <c r="AB1722" t="s">
        <v>3554</v>
      </c>
    </row>
    <row r="1723" spans="1:28" x14ac:dyDescent="0.25">
      <c r="H1723" t="s">
        <v>3294</v>
      </c>
    </row>
    <row r="1724" spans="1:28" x14ac:dyDescent="0.25">
      <c r="A1724">
        <v>859</v>
      </c>
      <c r="B1724">
        <v>2900</v>
      </c>
      <c r="C1724" t="s">
        <v>3555</v>
      </c>
      <c r="D1724" t="s">
        <v>339</v>
      </c>
      <c r="E1724" t="s">
        <v>154</v>
      </c>
      <c r="F1724" t="s">
        <v>3556</v>
      </c>
      <c r="G1724" t="str">
        <f>"00302768"</f>
        <v>00302768</v>
      </c>
      <c r="H1724" t="s">
        <v>2001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70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X1724">
        <v>0</v>
      </c>
      <c r="Y1724">
        <v>0</v>
      </c>
      <c r="Z1724">
        <v>0</v>
      </c>
      <c r="AA1724">
        <v>0</v>
      </c>
      <c r="AB1724" t="s">
        <v>3554</v>
      </c>
    </row>
    <row r="1725" spans="1:28" x14ac:dyDescent="0.25">
      <c r="H1725" t="s">
        <v>3557</v>
      </c>
    </row>
    <row r="1726" spans="1:28" x14ac:dyDescent="0.25">
      <c r="A1726">
        <v>860</v>
      </c>
      <c r="B1726">
        <v>4499</v>
      </c>
      <c r="C1726" t="s">
        <v>3558</v>
      </c>
      <c r="D1726" t="s">
        <v>44</v>
      </c>
      <c r="E1726" t="s">
        <v>15</v>
      </c>
      <c r="F1726" t="s">
        <v>3559</v>
      </c>
      <c r="G1726" t="str">
        <f>"00353074"</f>
        <v>00353074</v>
      </c>
      <c r="H1726">
        <v>781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X1726">
        <v>0</v>
      </c>
      <c r="Y1726">
        <v>0</v>
      </c>
      <c r="Z1726">
        <v>0</v>
      </c>
      <c r="AA1726">
        <v>0</v>
      </c>
      <c r="AB1726">
        <v>811</v>
      </c>
    </row>
    <row r="1727" spans="1:28" x14ac:dyDescent="0.25">
      <c r="H1727" t="s">
        <v>3560</v>
      </c>
    </row>
    <row r="1728" spans="1:28" x14ac:dyDescent="0.25">
      <c r="A1728">
        <v>861</v>
      </c>
      <c r="B1728">
        <v>3774</v>
      </c>
      <c r="C1728" t="s">
        <v>1886</v>
      </c>
      <c r="D1728" t="s">
        <v>366</v>
      </c>
      <c r="E1728" t="s">
        <v>3561</v>
      </c>
      <c r="F1728" t="s">
        <v>3562</v>
      </c>
      <c r="G1728" t="str">
        <f>"00369084"</f>
        <v>00369084</v>
      </c>
      <c r="H1728" t="s">
        <v>490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70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X1728">
        <v>0</v>
      </c>
      <c r="Y1728">
        <v>0</v>
      </c>
      <c r="Z1728">
        <v>0</v>
      </c>
      <c r="AA1728">
        <v>0</v>
      </c>
      <c r="AB1728" t="s">
        <v>3563</v>
      </c>
    </row>
    <row r="1729" spans="1:28" x14ac:dyDescent="0.25">
      <c r="H1729" t="s">
        <v>3564</v>
      </c>
    </row>
    <row r="1730" spans="1:28" x14ac:dyDescent="0.25">
      <c r="A1730">
        <v>862</v>
      </c>
      <c r="B1730">
        <v>1196</v>
      </c>
      <c r="C1730" t="s">
        <v>3565</v>
      </c>
      <c r="D1730" t="s">
        <v>3566</v>
      </c>
      <c r="E1730" t="s">
        <v>80</v>
      </c>
      <c r="F1730" t="s">
        <v>3567</v>
      </c>
      <c r="G1730" t="str">
        <f>"00156780"</f>
        <v>00156780</v>
      </c>
      <c r="H1730" t="s">
        <v>932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X1730">
        <v>0</v>
      </c>
      <c r="Y1730">
        <v>0</v>
      </c>
      <c r="Z1730">
        <v>2</v>
      </c>
      <c r="AA1730">
        <v>34</v>
      </c>
      <c r="AB1730" t="s">
        <v>3568</v>
      </c>
    </row>
    <row r="1731" spans="1:28" x14ac:dyDescent="0.25">
      <c r="H1731" t="s">
        <v>3569</v>
      </c>
    </row>
    <row r="1732" spans="1:28" x14ac:dyDescent="0.25">
      <c r="A1732">
        <v>863</v>
      </c>
      <c r="B1732">
        <v>4807</v>
      </c>
      <c r="C1732" t="s">
        <v>3570</v>
      </c>
      <c r="D1732" t="s">
        <v>19</v>
      </c>
      <c r="E1732" t="s">
        <v>155</v>
      </c>
      <c r="F1732" t="s">
        <v>3571</v>
      </c>
      <c r="G1732" t="str">
        <f>"201410002915"</f>
        <v>201410002915</v>
      </c>
      <c r="H1732" t="s">
        <v>3572</v>
      </c>
      <c r="I1732">
        <v>0</v>
      </c>
      <c r="J1732">
        <v>0</v>
      </c>
      <c r="K1732">
        <v>0</v>
      </c>
      <c r="L1732">
        <v>0</v>
      </c>
      <c r="M1732">
        <v>100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X1732">
        <v>0</v>
      </c>
      <c r="Y1732">
        <v>0</v>
      </c>
      <c r="Z1732">
        <v>0</v>
      </c>
      <c r="AA1732">
        <v>0</v>
      </c>
      <c r="AB1732" t="s">
        <v>3568</v>
      </c>
    </row>
    <row r="1733" spans="1:28" x14ac:dyDescent="0.25">
      <c r="H1733" t="s">
        <v>3573</v>
      </c>
    </row>
    <row r="1734" spans="1:28" x14ac:dyDescent="0.25">
      <c r="A1734">
        <v>864</v>
      </c>
      <c r="B1734">
        <v>4843</v>
      </c>
      <c r="C1734" t="s">
        <v>3574</v>
      </c>
      <c r="D1734" t="s">
        <v>405</v>
      </c>
      <c r="E1734" t="s">
        <v>69</v>
      </c>
      <c r="F1734" t="s">
        <v>3575</v>
      </c>
      <c r="G1734" t="str">
        <f>"201412001744"</f>
        <v>201412001744</v>
      </c>
      <c r="H1734" t="s">
        <v>951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30</v>
      </c>
      <c r="O1734">
        <v>0</v>
      </c>
      <c r="P1734">
        <v>50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X1734">
        <v>0</v>
      </c>
      <c r="Y1734">
        <v>0</v>
      </c>
      <c r="Z1734">
        <v>0</v>
      </c>
      <c r="AA1734">
        <v>0</v>
      </c>
      <c r="AB1734" t="s">
        <v>3576</v>
      </c>
    </row>
    <row r="1735" spans="1:28" x14ac:dyDescent="0.25">
      <c r="H1735" t="s">
        <v>2219</v>
      </c>
    </row>
    <row r="1736" spans="1:28" x14ac:dyDescent="0.25">
      <c r="A1736">
        <v>865</v>
      </c>
      <c r="B1736">
        <v>500</v>
      </c>
      <c r="C1736" t="s">
        <v>1976</v>
      </c>
      <c r="D1736" t="s">
        <v>43</v>
      </c>
      <c r="E1736" t="s">
        <v>587</v>
      </c>
      <c r="F1736" t="s">
        <v>3577</v>
      </c>
      <c r="G1736" t="str">
        <f>"00236370"</f>
        <v>00236370</v>
      </c>
      <c r="H1736" t="s">
        <v>175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X1736">
        <v>0</v>
      </c>
      <c r="Y1736">
        <v>0</v>
      </c>
      <c r="Z1736">
        <v>0</v>
      </c>
      <c r="AA1736">
        <v>0</v>
      </c>
      <c r="AB1736" t="s">
        <v>3578</v>
      </c>
    </row>
    <row r="1737" spans="1:28" x14ac:dyDescent="0.25">
      <c r="H1737" t="s">
        <v>3579</v>
      </c>
    </row>
    <row r="1738" spans="1:28" x14ac:dyDescent="0.25">
      <c r="A1738">
        <v>866</v>
      </c>
      <c r="B1738">
        <v>3535</v>
      </c>
      <c r="C1738" t="s">
        <v>3580</v>
      </c>
      <c r="D1738" t="s">
        <v>19</v>
      </c>
      <c r="E1738" t="s">
        <v>51</v>
      </c>
      <c r="F1738" t="s">
        <v>3581</v>
      </c>
      <c r="G1738" t="str">
        <f>"00359138"</f>
        <v>00359138</v>
      </c>
      <c r="H1738" t="s">
        <v>175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30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X1738">
        <v>0</v>
      </c>
      <c r="Y1738">
        <v>0</v>
      </c>
      <c r="Z1738">
        <v>0</v>
      </c>
      <c r="AA1738">
        <v>0</v>
      </c>
      <c r="AB1738" t="s">
        <v>3578</v>
      </c>
    </row>
    <row r="1739" spans="1:28" x14ac:dyDescent="0.25">
      <c r="H1739" t="s">
        <v>3582</v>
      </c>
    </row>
    <row r="1740" spans="1:28" x14ac:dyDescent="0.25">
      <c r="A1740">
        <v>867</v>
      </c>
      <c r="B1740">
        <v>2251</v>
      </c>
      <c r="C1740" t="s">
        <v>3583</v>
      </c>
      <c r="D1740" t="s">
        <v>1006</v>
      </c>
      <c r="E1740" t="s">
        <v>80</v>
      </c>
      <c r="F1740" t="s">
        <v>3584</v>
      </c>
      <c r="G1740" t="str">
        <f>"201406010036"</f>
        <v>201406010036</v>
      </c>
      <c r="H1740" t="s">
        <v>2273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70</v>
      </c>
      <c r="O1740">
        <v>0</v>
      </c>
      <c r="P1740">
        <v>0</v>
      </c>
      <c r="Q1740">
        <v>30</v>
      </c>
      <c r="R1740">
        <v>0</v>
      </c>
      <c r="S1740">
        <v>0</v>
      </c>
      <c r="T1740">
        <v>0</v>
      </c>
      <c r="U1740">
        <v>0</v>
      </c>
      <c r="V1740">
        <v>0</v>
      </c>
      <c r="X1740">
        <v>0</v>
      </c>
      <c r="Y1740">
        <v>0</v>
      </c>
      <c r="Z1740">
        <v>0</v>
      </c>
      <c r="AA1740">
        <v>0</v>
      </c>
      <c r="AB1740" t="s">
        <v>3585</v>
      </c>
    </row>
    <row r="1741" spans="1:28" x14ac:dyDescent="0.25">
      <c r="H1741" t="s">
        <v>3586</v>
      </c>
    </row>
    <row r="1742" spans="1:28" x14ac:dyDescent="0.25">
      <c r="A1742">
        <v>868</v>
      </c>
      <c r="B1742">
        <v>4725</v>
      </c>
      <c r="C1742" t="s">
        <v>3587</v>
      </c>
      <c r="D1742" t="s">
        <v>1611</v>
      </c>
      <c r="E1742" t="s">
        <v>3588</v>
      </c>
      <c r="F1742" t="s">
        <v>3589</v>
      </c>
      <c r="G1742" t="str">
        <f>"00227430"</f>
        <v>00227430</v>
      </c>
      <c r="H1742" t="s">
        <v>2273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70</v>
      </c>
      <c r="O1742">
        <v>0</v>
      </c>
      <c r="P1742">
        <v>30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X1742">
        <v>0</v>
      </c>
      <c r="Y1742">
        <v>0</v>
      </c>
      <c r="Z1742">
        <v>0</v>
      </c>
      <c r="AA1742">
        <v>0</v>
      </c>
      <c r="AB1742" t="s">
        <v>3585</v>
      </c>
    </row>
    <row r="1743" spans="1:28" x14ac:dyDescent="0.25">
      <c r="H1743" t="s">
        <v>3590</v>
      </c>
    </row>
    <row r="1744" spans="1:28" x14ac:dyDescent="0.25">
      <c r="A1744">
        <v>869</v>
      </c>
      <c r="B1744">
        <v>2594</v>
      </c>
      <c r="C1744" t="s">
        <v>3591</v>
      </c>
      <c r="D1744" t="s">
        <v>51</v>
      </c>
      <c r="E1744" t="s">
        <v>117</v>
      </c>
      <c r="F1744" t="s">
        <v>3592</v>
      </c>
      <c r="G1744" t="str">
        <f>"00297853"</f>
        <v>00297853</v>
      </c>
      <c r="H1744" t="s">
        <v>2032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X1744">
        <v>1</v>
      </c>
      <c r="Y1744">
        <v>0</v>
      </c>
      <c r="Z1744">
        <v>0</v>
      </c>
      <c r="AA1744">
        <v>0</v>
      </c>
      <c r="AB1744" t="s">
        <v>3593</v>
      </c>
    </row>
    <row r="1745" spans="1:28" x14ac:dyDescent="0.25">
      <c r="H1745" t="s">
        <v>3594</v>
      </c>
    </row>
    <row r="1746" spans="1:28" x14ac:dyDescent="0.25">
      <c r="A1746">
        <v>870</v>
      </c>
      <c r="B1746">
        <v>4752</v>
      </c>
      <c r="C1746" t="s">
        <v>3595</v>
      </c>
      <c r="D1746" t="s">
        <v>44</v>
      </c>
      <c r="E1746" t="s">
        <v>117</v>
      </c>
      <c r="F1746" t="s">
        <v>3596</v>
      </c>
      <c r="G1746" t="str">
        <f>"00236642"</f>
        <v>00236642</v>
      </c>
      <c r="H1746" t="s">
        <v>2032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70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X1746">
        <v>0</v>
      </c>
      <c r="Y1746">
        <v>0</v>
      </c>
      <c r="Z1746">
        <v>0</v>
      </c>
      <c r="AA1746">
        <v>0</v>
      </c>
      <c r="AB1746" t="s">
        <v>3593</v>
      </c>
    </row>
    <row r="1747" spans="1:28" x14ac:dyDescent="0.25">
      <c r="H1747" t="s">
        <v>3597</v>
      </c>
    </row>
    <row r="1748" spans="1:28" x14ac:dyDescent="0.25">
      <c r="A1748">
        <v>871</v>
      </c>
      <c r="B1748">
        <v>4999</v>
      </c>
      <c r="C1748" t="s">
        <v>3598</v>
      </c>
      <c r="D1748" t="s">
        <v>930</v>
      </c>
      <c r="E1748" t="s">
        <v>20</v>
      </c>
      <c r="F1748" t="s">
        <v>3599</v>
      </c>
      <c r="G1748" t="str">
        <f>"00123803"</f>
        <v>00123803</v>
      </c>
      <c r="H1748" t="s">
        <v>438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30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X1748">
        <v>0</v>
      </c>
      <c r="Y1748">
        <v>0</v>
      </c>
      <c r="Z1748">
        <v>0</v>
      </c>
      <c r="AA1748">
        <v>0</v>
      </c>
      <c r="AB1748" t="s">
        <v>3600</v>
      </c>
    </row>
    <row r="1749" spans="1:28" x14ac:dyDescent="0.25">
      <c r="H1749" t="s">
        <v>3601</v>
      </c>
    </row>
    <row r="1750" spans="1:28" x14ac:dyDescent="0.25">
      <c r="A1750">
        <v>872</v>
      </c>
      <c r="B1750">
        <v>5179</v>
      </c>
      <c r="C1750" t="s">
        <v>3602</v>
      </c>
      <c r="D1750" t="s">
        <v>19</v>
      </c>
      <c r="E1750" t="s">
        <v>51</v>
      </c>
      <c r="F1750" t="s">
        <v>3603</v>
      </c>
      <c r="G1750" t="str">
        <f>"00256054"</f>
        <v>00256054</v>
      </c>
      <c r="H1750" t="s">
        <v>438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30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X1750">
        <v>0</v>
      </c>
      <c r="Y1750">
        <v>0</v>
      </c>
      <c r="Z1750">
        <v>0</v>
      </c>
      <c r="AA1750">
        <v>0</v>
      </c>
      <c r="AB1750" t="s">
        <v>3600</v>
      </c>
    </row>
    <row r="1751" spans="1:28" x14ac:dyDescent="0.25">
      <c r="H1751" t="s">
        <v>3604</v>
      </c>
    </row>
    <row r="1752" spans="1:28" x14ac:dyDescent="0.25">
      <c r="A1752">
        <v>873</v>
      </c>
      <c r="B1752">
        <v>299</v>
      </c>
      <c r="C1752" t="s">
        <v>845</v>
      </c>
      <c r="D1752" t="s">
        <v>19</v>
      </c>
      <c r="E1752" t="s">
        <v>51</v>
      </c>
      <c r="F1752" t="s">
        <v>3605</v>
      </c>
      <c r="G1752" t="str">
        <f>"201406000373"</f>
        <v>201406000373</v>
      </c>
      <c r="H1752" t="s">
        <v>1592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50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X1752">
        <v>0</v>
      </c>
      <c r="Y1752">
        <v>0</v>
      </c>
      <c r="Z1752">
        <v>0</v>
      </c>
      <c r="AA1752">
        <v>0</v>
      </c>
      <c r="AB1752" t="s">
        <v>3606</v>
      </c>
    </row>
    <row r="1753" spans="1:28" x14ac:dyDescent="0.25">
      <c r="H1753" t="s">
        <v>3607</v>
      </c>
    </row>
    <row r="1754" spans="1:28" x14ac:dyDescent="0.25">
      <c r="A1754">
        <v>874</v>
      </c>
      <c r="B1754">
        <v>4763</v>
      </c>
      <c r="C1754" t="s">
        <v>3608</v>
      </c>
      <c r="D1754" t="s">
        <v>26</v>
      </c>
      <c r="E1754" t="s">
        <v>98</v>
      </c>
      <c r="F1754" t="s">
        <v>3609</v>
      </c>
      <c r="G1754" t="str">
        <f>"201406007932"</f>
        <v>201406007932</v>
      </c>
      <c r="H1754" t="s">
        <v>809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30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X1754">
        <v>0</v>
      </c>
      <c r="Y1754">
        <v>0</v>
      </c>
      <c r="Z1754">
        <v>0</v>
      </c>
      <c r="AA1754">
        <v>0</v>
      </c>
      <c r="AB1754" t="s">
        <v>3610</v>
      </c>
    </row>
    <row r="1755" spans="1:28" x14ac:dyDescent="0.25">
      <c r="H1755" t="s">
        <v>3611</v>
      </c>
    </row>
    <row r="1756" spans="1:28" x14ac:dyDescent="0.25">
      <c r="A1756">
        <v>875</v>
      </c>
      <c r="B1756">
        <v>3203</v>
      </c>
      <c r="C1756" t="s">
        <v>3612</v>
      </c>
      <c r="D1756" t="s">
        <v>366</v>
      </c>
      <c r="E1756" t="s">
        <v>357</v>
      </c>
      <c r="F1756" t="s">
        <v>3613</v>
      </c>
      <c r="G1756" t="str">
        <f>"00359080"</f>
        <v>00359080</v>
      </c>
      <c r="H1756" t="s">
        <v>1213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30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X1756">
        <v>0</v>
      </c>
      <c r="Y1756">
        <v>0</v>
      </c>
      <c r="Z1756">
        <v>0</v>
      </c>
      <c r="AA1756">
        <v>0</v>
      </c>
      <c r="AB1756" t="s">
        <v>3614</v>
      </c>
    </row>
    <row r="1757" spans="1:28" x14ac:dyDescent="0.25">
      <c r="H1757">
        <v>1009</v>
      </c>
    </row>
    <row r="1758" spans="1:28" x14ac:dyDescent="0.25">
      <c r="A1758">
        <v>876</v>
      </c>
      <c r="B1758">
        <v>1744</v>
      </c>
      <c r="C1758" t="s">
        <v>3615</v>
      </c>
      <c r="D1758" t="s">
        <v>3616</v>
      </c>
      <c r="E1758" t="s">
        <v>1126</v>
      </c>
      <c r="F1758" t="s">
        <v>3617</v>
      </c>
      <c r="G1758" t="str">
        <f>"00221772"</f>
        <v>00221772</v>
      </c>
      <c r="H1758" t="s">
        <v>389</v>
      </c>
      <c r="I1758">
        <v>0</v>
      </c>
      <c r="J1758">
        <v>0</v>
      </c>
      <c r="K1758">
        <v>0</v>
      </c>
      <c r="L1758">
        <v>0</v>
      </c>
      <c r="M1758">
        <v>100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X1758">
        <v>0</v>
      </c>
      <c r="Y1758">
        <v>0</v>
      </c>
      <c r="Z1758">
        <v>0</v>
      </c>
      <c r="AA1758">
        <v>0</v>
      </c>
      <c r="AB1758" t="s">
        <v>3618</v>
      </c>
    </row>
    <row r="1759" spans="1:28" x14ac:dyDescent="0.25">
      <c r="H1759" t="s">
        <v>3619</v>
      </c>
    </row>
    <row r="1760" spans="1:28" x14ac:dyDescent="0.25">
      <c r="A1760">
        <v>877</v>
      </c>
      <c r="B1760">
        <v>4428</v>
      </c>
      <c r="C1760" t="s">
        <v>3620</v>
      </c>
      <c r="D1760" t="s">
        <v>187</v>
      </c>
      <c r="E1760" t="s">
        <v>762</v>
      </c>
      <c r="F1760" t="s">
        <v>3621</v>
      </c>
      <c r="G1760" t="str">
        <f>"00239188"</f>
        <v>00239188</v>
      </c>
      <c r="H1760" t="s">
        <v>3622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70</v>
      </c>
      <c r="O1760">
        <v>50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X1760">
        <v>0</v>
      </c>
      <c r="Y1760">
        <v>0</v>
      </c>
      <c r="Z1760">
        <v>0</v>
      </c>
      <c r="AA1760">
        <v>0</v>
      </c>
      <c r="AB1760" t="s">
        <v>3623</v>
      </c>
    </row>
    <row r="1761" spans="1:28" x14ac:dyDescent="0.25">
      <c r="H1761" t="s">
        <v>3624</v>
      </c>
    </row>
    <row r="1762" spans="1:28" x14ac:dyDescent="0.25">
      <c r="A1762">
        <v>878</v>
      </c>
      <c r="B1762">
        <v>4307</v>
      </c>
      <c r="C1762" t="s">
        <v>3625</v>
      </c>
      <c r="D1762" t="s">
        <v>3626</v>
      </c>
      <c r="E1762" t="s">
        <v>3627</v>
      </c>
      <c r="F1762" t="s">
        <v>3628</v>
      </c>
      <c r="G1762" t="str">
        <f>"00103441"</f>
        <v>00103441</v>
      </c>
      <c r="H1762" t="s">
        <v>243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50</v>
      </c>
      <c r="O1762">
        <v>0</v>
      </c>
      <c r="P1762">
        <v>30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X1762">
        <v>0</v>
      </c>
      <c r="Y1762">
        <v>0</v>
      </c>
      <c r="Z1762">
        <v>0</v>
      </c>
      <c r="AA1762">
        <v>0</v>
      </c>
      <c r="AB1762" t="s">
        <v>3629</v>
      </c>
    </row>
    <row r="1763" spans="1:28" x14ac:dyDescent="0.25">
      <c r="H1763" t="s">
        <v>3630</v>
      </c>
    </row>
    <row r="1764" spans="1:28" x14ac:dyDescent="0.25">
      <c r="A1764">
        <v>879</v>
      </c>
      <c r="B1764">
        <v>3109</v>
      </c>
      <c r="C1764" t="s">
        <v>3631</v>
      </c>
      <c r="D1764" t="s">
        <v>339</v>
      </c>
      <c r="E1764" t="s">
        <v>218</v>
      </c>
      <c r="F1764" t="s">
        <v>3632</v>
      </c>
      <c r="G1764" t="str">
        <f>"201304001679"</f>
        <v>201304001679</v>
      </c>
      <c r="H1764" t="s">
        <v>249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70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X1764">
        <v>0</v>
      </c>
      <c r="Y1764">
        <v>0</v>
      </c>
      <c r="Z1764">
        <v>0</v>
      </c>
      <c r="AA1764">
        <v>0</v>
      </c>
      <c r="AB1764" t="s">
        <v>3633</v>
      </c>
    </row>
    <row r="1765" spans="1:28" x14ac:dyDescent="0.25">
      <c r="H1765" t="s">
        <v>3634</v>
      </c>
    </row>
    <row r="1766" spans="1:28" x14ac:dyDescent="0.25">
      <c r="A1766">
        <v>880</v>
      </c>
      <c r="B1766">
        <v>429</v>
      </c>
      <c r="C1766" t="s">
        <v>3635</v>
      </c>
      <c r="D1766" t="s">
        <v>187</v>
      </c>
      <c r="E1766" t="s">
        <v>247</v>
      </c>
      <c r="F1766" t="s">
        <v>3636</v>
      </c>
      <c r="G1766" t="str">
        <f>"00217566"</f>
        <v>00217566</v>
      </c>
      <c r="H1766" t="s">
        <v>249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X1766">
        <v>0</v>
      </c>
      <c r="Y1766">
        <v>0</v>
      </c>
      <c r="Z1766">
        <v>0</v>
      </c>
      <c r="AA1766">
        <v>0</v>
      </c>
      <c r="AB1766" t="s">
        <v>3633</v>
      </c>
    </row>
    <row r="1767" spans="1:28" x14ac:dyDescent="0.25">
      <c r="H1767" t="s">
        <v>3637</v>
      </c>
    </row>
    <row r="1768" spans="1:28" x14ac:dyDescent="0.25">
      <c r="A1768">
        <v>881</v>
      </c>
      <c r="B1768">
        <v>4061</v>
      </c>
      <c r="C1768" t="s">
        <v>3638</v>
      </c>
      <c r="D1768" t="s">
        <v>80</v>
      </c>
      <c r="E1768" t="s">
        <v>1159</v>
      </c>
      <c r="F1768" t="s">
        <v>3639</v>
      </c>
      <c r="G1768" t="str">
        <f>"00344798"</f>
        <v>00344798</v>
      </c>
      <c r="H1768" t="s">
        <v>249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70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X1768">
        <v>0</v>
      </c>
      <c r="Y1768">
        <v>0</v>
      </c>
      <c r="Z1768">
        <v>0</v>
      </c>
      <c r="AA1768">
        <v>0</v>
      </c>
      <c r="AB1768" t="s">
        <v>3633</v>
      </c>
    </row>
    <row r="1769" spans="1:28" x14ac:dyDescent="0.25">
      <c r="H1769" t="s">
        <v>3640</v>
      </c>
    </row>
    <row r="1770" spans="1:28" x14ac:dyDescent="0.25">
      <c r="A1770">
        <v>882</v>
      </c>
      <c r="B1770">
        <v>2170</v>
      </c>
      <c r="C1770" t="s">
        <v>3641</v>
      </c>
      <c r="D1770" t="s">
        <v>2541</v>
      </c>
      <c r="E1770" t="s">
        <v>155</v>
      </c>
      <c r="F1770" t="s">
        <v>3642</v>
      </c>
      <c r="G1770" t="str">
        <f>"201406009535"</f>
        <v>201406009535</v>
      </c>
      <c r="H1770" t="s">
        <v>2492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70</v>
      </c>
      <c r="O1770">
        <v>30</v>
      </c>
      <c r="P1770">
        <v>0</v>
      </c>
      <c r="Q1770">
        <v>50</v>
      </c>
      <c r="R1770">
        <v>0</v>
      </c>
      <c r="S1770">
        <v>0</v>
      </c>
      <c r="T1770">
        <v>0</v>
      </c>
      <c r="U1770">
        <v>0</v>
      </c>
      <c r="V1770">
        <v>0</v>
      </c>
      <c r="X1770">
        <v>0</v>
      </c>
      <c r="Y1770">
        <v>0</v>
      </c>
      <c r="Z1770">
        <v>0</v>
      </c>
      <c r="AA1770">
        <v>0</v>
      </c>
      <c r="AB1770" t="s">
        <v>3643</v>
      </c>
    </row>
    <row r="1771" spans="1:28" x14ac:dyDescent="0.25">
      <c r="H1771" t="s">
        <v>409</v>
      </c>
    </row>
    <row r="1772" spans="1:28" x14ac:dyDescent="0.25">
      <c r="A1772">
        <v>883</v>
      </c>
      <c r="B1772">
        <v>3645</v>
      </c>
      <c r="C1772" t="s">
        <v>3644</v>
      </c>
      <c r="D1772" t="s">
        <v>3645</v>
      </c>
      <c r="E1772" t="s">
        <v>38</v>
      </c>
      <c r="F1772" t="s">
        <v>3646</v>
      </c>
      <c r="G1772" t="str">
        <f>"201402005645"</f>
        <v>201402005645</v>
      </c>
      <c r="H1772" t="s">
        <v>425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X1772">
        <v>0</v>
      </c>
      <c r="Y1772">
        <v>0</v>
      </c>
      <c r="Z1772">
        <v>0</v>
      </c>
      <c r="AA1772">
        <v>0</v>
      </c>
      <c r="AB1772" t="s">
        <v>3647</v>
      </c>
    </row>
    <row r="1773" spans="1:28" x14ac:dyDescent="0.25">
      <c r="H1773">
        <v>1009</v>
      </c>
    </row>
    <row r="1774" spans="1:28" x14ac:dyDescent="0.25">
      <c r="A1774">
        <v>884</v>
      </c>
      <c r="B1774">
        <v>3478</v>
      </c>
      <c r="C1774" t="s">
        <v>3648</v>
      </c>
      <c r="D1774" t="s">
        <v>51</v>
      </c>
      <c r="E1774" t="s">
        <v>44</v>
      </c>
      <c r="F1774" t="s">
        <v>3649</v>
      </c>
      <c r="G1774" t="str">
        <f>"00192293"</f>
        <v>00192293</v>
      </c>
      <c r="H1774" t="s">
        <v>2193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50</v>
      </c>
      <c r="O1774">
        <v>0</v>
      </c>
      <c r="P1774">
        <v>30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X1774">
        <v>0</v>
      </c>
      <c r="Y1774">
        <v>0</v>
      </c>
      <c r="Z1774">
        <v>0</v>
      </c>
      <c r="AA1774">
        <v>0</v>
      </c>
      <c r="AB1774" t="s">
        <v>3650</v>
      </c>
    </row>
    <row r="1775" spans="1:28" x14ac:dyDescent="0.25">
      <c r="H1775" t="s">
        <v>3651</v>
      </c>
    </row>
    <row r="1776" spans="1:28" x14ac:dyDescent="0.25">
      <c r="A1776">
        <v>885</v>
      </c>
      <c r="B1776">
        <v>2227</v>
      </c>
      <c r="C1776" t="s">
        <v>845</v>
      </c>
      <c r="D1776" t="s">
        <v>3652</v>
      </c>
      <c r="E1776" t="s">
        <v>51</v>
      </c>
      <c r="F1776" t="s">
        <v>3653</v>
      </c>
      <c r="G1776" t="str">
        <f>"201402011167"</f>
        <v>201402011167</v>
      </c>
      <c r="H1776">
        <v>770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X1776">
        <v>0</v>
      </c>
      <c r="Y1776">
        <v>0</v>
      </c>
      <c r="Z1776">
        <v>0</v>
      </c>
      <c r="AA1776">
        <v>0</v>
      </c>
      <c r="AB1776">
        <v>800</v>
      </c>
    </row>
    <row r="1777" spans="1:28" x14ac:dyDescent="0.25">
      <c r="H1777" t="s">
        <v>3654</v>
      </c>
    </row>
    <row r="1778" spans="1:28" x14ac:dyDescent="0.25">
      <c r="A1778">
        <v>886</v>
      </c>
      <c r="B1778">
        <v>2143</v>
      </c>
      <c r="C1778" t="s">
        <v>3655</v>
      </c>
      <c r="D1778" t="s">
        <v>3656</v>
      </c>
      <c r="E1778" t="s">
        <v>155</v>
      </c>
      <c r="F1778" t="s">
        <v>3657</v>
      </c>
      <c r="G1778" t="str">
        <f>"201506003614"</f>
        <v>201506003614</v>
      </c>
      <c r="H1778">
        <v>770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X1778">
        <v>0</v>
      </c>
      <c r="Y1778">
        <v>0</v>
      </c>
      <c r="Z1778">
        <v>0</v>
      </c>
      <c r="AA1778">
        <v>0</v>
      </c>
      <c r="AB1778">
        <v>800</v>
      </c>
    </row>
    <row r="1779" spans="1:28" x14ac:dyDescent="0.25">
      <c r="H1779" t="s">
        <v>3658</v>
      </c>
    </row>
    <row r="1780" spans="1:28" x14ac:dyDescent="0.25">
      <c r="A1780">
        <v>887</v>
      </c>
      <c r="B1780">
        <v>2901</v>
      </c>
      <c r="C1780" t="s">
        <v>3659</v>
      </c>
      <c r="D1780" t="s">
        <v>758</v>
      </c>
      <c r="E1780" t="s">
        <v>14</v>
      </c>
      <c r="F1780" t="s">
        <v>3660</v>
      </c>
      <c r="G1780" t="str">
        <f>"201405002211"</f>
        <v>201405002211</v>
      </c>
      <c r="H1780">
        <v>770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X1780">
        <v>1</v>
      </c>
      <c r="Y1780">
        <v>0</v>
      </c>
      <c r="Z1780">
        <v>0</v>
      </c>
      <c r="AA1780">
        <v>0</v>
      </c>
      <c r="AB1780">
        <v>800</v>
      </c>
    </row>
    <row r="1781" spans="1:28" x14ac:dyDescent="0.25">
      <c r="H1781" t="s">
        <v>2902</v>
      </c>
    </row>
    <row r="1782" spans="1:28" x14ac:dyDescent="0.25">
      <c r="A1782">
        <v>888</v>
      </c>
      <c r="B1782">
        <v>5028</v>
      </c>
      <c r="C1782" t="s">
        <v>3661</v>
      </c>
      <c r="D1782" t="s">
        <v>3662</v>
      </c>
      <c r="E1782" t="s">
        <v>3663</v>
      </c>
      <c r="F1782" t="s">
        <v>3664</v>
      </c>
      <c r="G1782" t="str">
        <f>"00297635"</f>
        <v>00297635</v>
      </c>
      <c r="H1782">
        <v>770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X1782">
        <v>0</v>
      </c>
      <c r="Y1782">
        <v>0</v>
      </c>
      <c r="Z1782">
        <v>0</v>
      </c>
      <c r="AA1782">
        <v>0</v>
      </c>
      <c r="AB1782">
        <v>800</v>
      </c>
    </row>
    <row r="1783" spans="1:28" x14ac:dyDescent="0.25">
      <c r="H1783">
        <v>1009</v>
      </c>
    </row>
    <row r="1784" spans="1:28" x14ac:dyDescent="0.25">
      <c r="A1784">
        <v>889</v>
      </c>
      <c r="B1784">
        <v>2528</v>
      </c>
      <c r="C1784" t="s">
        <v>3665</v>
      </c>
      <c r="D1784" t="s">
        <v>155</v>
      </c>
      <c r="E1784" t="s">
        <v>840</v>
      </c>
      <c r="F1784" t="s">
        <v>3666</v>
      </c>
      <c r="G1784" t="str">
        <f>"201406015227"</f>
        <v>201406015227</v>
      </c>
      <c r="H1784" t="s">
        <v>951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70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X1784">
        <v>0</v>
      </c>
      <c r="Y1784">
        <v>0</v>
      </c>
      <c r="Z1784">
        <v>0</v>
      </c>
      <c r="AA1784">
        <v>0</v>
      </c>
      <c r="AB1784" t="s">
        <v>3667</v>
      </c>
    </row>
    <row r="1785" spans="1:28" x14ac:dyDescent="0.25">
      <c r="H1785" t="s">
        <v>3668</v>
      </c>
    </row>
    <row r="1786" spans="1:28" x14ac:dyDescent="0.25">
      <c r="A1786">
        <v>890</v>
      </c>
      <c r="B1786">
        <v>3377</v>
      </c>
      <c r="C1786" t="s">
        <v>3669</v>
      </c>
      <c r="D1786" t="s">
        <v>303</v>
      </c>
      <c r="E1786" t="s">
        <v>247</v>
      </c>
      <c r="F1786" t="s">
        <v>3670</v>
      </c>
      <c r="G1786" t="str">
        <f>"201506002490"</f>
        <v>201506002490</v>
      </c>
      <c r="H1786" t="s">
        <v>2032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30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X1786">
        <v>0</v>
      </c>
      <c r="Y1786">
        <v>0</v>
      </c>
      <c r="Z1786">
        <v>0</v>
      </c>
      <c r="AA1786">
        <v>0</v>
      </c>
      <c r="AB1786" t="s">
        <v>3671</v>
      </c>
    </row>
    <row r="1787" spans="1:28" x14ac:dyDescent="0.25">
      <c r="H1787" t="s">
        <v>3672</v>
      </c>
    </row>
    <row r="1788" spans="1:28" x14ac:dyDescent="0.25">
      <c r="A1788">
        <v>891</v>
      </c>
      <c r="B1788">
        <v>620</v>
      </c>
      <c r="C1788" t="s">
        <v>1610</v>
      </c>
      <c r="D1788" t="s">
        <v>3673</v>
      </c>
      <c r="E1788" t="s">
        <v>14</v>
      </c>
      <c r="F1788" t="s">
        <v>3674</v>
      </c>
      <c r="G1788" t="str">
        <f>"201406000633"</f>
        <v>201406000633</v>
      </c>
      <c r="H1788">
        <v>726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70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X1788">
        <v>0</v>
      </c>
      <c r="Y1788">
        <v>0</v>
      </c>
      <c r="Z1788">
        <v>0</v>
      </c>
      <c r="AA1788">
        <v>0</v>
      </c>
      <c r="AB1788">
        <v>796</v>
      </c>
    </row>
    <row r="1789" spans="1:28" x14ac:dyDescent="0.25">
      <c r="H1789" t="s">
        <v>3675</v>
      </c>
    </row>
    <row r="1790" spans="1:28" x14ac:dyDescent="0.25">
      <c r="A1790">
        <v>892</v>
      </c>
      <c r="B1790">
        <v>3995</v>
      </c>
      <c r="C1790" t="s">
        <v>3676</v>
      </c>
      <c r="D1790" t="s">
        <v>3140</v>
      </c>
      <c r="E1790" t="s">
        <v>80</v>
      </c>
      <c r="F1790" t="s">
        <v>3677</v>
      </c>
      <c r="G1790" t="str">
        <f>"00120254"</f>
        <v>00120254</v>
      </c>
      <c r="H1790" t="s">
        <v>932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50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X1790">
        <v>0</v>
      </c>
      <c r="Y1790">
        <v>0</v>
      </c>
      <c r="Z1790">
        <v>0</v>
      </c>
      <c r="AA1790">
        <v>0</v>
      </c>
      <c r="AB1790" t="s">
        <v>3678</v>
      </c>
    </row>
    <row r="1791" spans="1:28" x14ac:dyDescent="0.25">
      <c r="H1791" t="s">
        <v>3364</v>
      </c>
    </row>
    <row r="1792" spans="1:28" x14ac:dyDescent="0.25">
      <c r="A1792">
        <v>893</v>
      </c>
      <c r="B1792">
        <v>3251</v>
      </c>
      <c r="C1792" t="s">
        <v>3679</v>
      </c>
      <c r="D1792" t="s">
        <v>80</v>
      </c>
      <c r="E1792" t="s">
        <v>117</v>
      </c>
      <c r="F1792" t="s">
        <v>3680</v>
      </c>
      <c r="G1792" t="str">
        <f>"200712005453"</f>
        <v>200712005453</v>
      </c>
      <c r="H1792" t="s">
        <v>140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X1792">
        <v>0</v>
      </c>
      <c r="Y1792">
        <v>0</v>
      </c>
      <c r="Z1792">
        <v>0</v>
      </c>
      <c r="AA1792">
        <v>0</v>
      </c>
      <c r="AB1792" t="s">
        <v>3681</v>
      </c>
    </row>
    <row r="1793" spans="1:28" x14ac:dyDescent="0.25">
      <c r="H1793" t="s">
        <v>3682</v>
      </c>
    </row>
    <row r="1794" spans="1:28" x14ac:dyDescent="0.25">
      <c r="A1794">
        <v>894</v>
      </c>
      <c r="B1794">
        <v>2876</v>
      </c>
      <c r="C1794" t="s">
        <v>3683</v>
      </c>
      <c r="D1794" t="s">
        <v>2888</v>
      </c>
      <c r="E1794" t="s">
        <v>155</v>
      </c>
      <c r="F1794" t="s">
        <v>3684</v>
      </c>
      <c r="G1794" t="str">
        <f>"201304005611"</f>
        <v>201304005611</v>
      </c>
      <c r="H1794" t="s">
        <v>318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70</v>
      </c>
      <c r="O1794">
        <v>0</v>
      </c>
      <c r="P1794">
        <v>30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X1794">
        <v>0</v>
      </c>
      <c r="Y1794">
        <v>0</v>
      </c>
      <c r="Z1794">
        <v>0</v>
      </c>
      <c r="AA1794">
        <v>0</v>
      </c>
      <c r="AB1794" t="s">
        <v>3685</v>
      </c>
    </row>
    <row r="1795" spans="1:28" x14ac:dyDescent="0.25">
      <c r="H1795" t="s">
        <v>3686</v>
      </c>
    </row>
    <row r="1796" spans="1:28" x14ac:dyDescent="0.25">
      <c r="A1796">
        <v>895</v>
      </c>
      <c r="B1796">
        <v>1439</v>
      </c>
      <c r="C1796" t="s">
        <v>3687</v>
      </c>
      <c r="D1796" t="s">
        <v>187</v>
      </c>
      <c r="E1796" t="s">
        <v>117</v>
      </c>
      <c r="F1796" t="s">
        <v>3688</v>
      </c>
      <c r="G1796" t="str">
        <f>"00321203"</f>
        <v>00321203</v>
      </c>
      <c r="H1796" t="s">
        <v>1903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70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X1796">
        <v>0</v>
      </c>
      <c r="Y1796">
        <v>0</v>
      </c>
      <c r="Z1796">
        <v>0</v>
      </c>
      <c r="AA1796">
        <v>0</v>
      </c>
      <c r="AB1796" t="s">
        <v>3689</v>
      </c>
    </row>
    <row r="1797" spans="1:28" x14ac:dyDescent="0.25">
      <c r="H1797" t="s">
        <v>3690</v>
      </c>
    </row>
    <row r="1798" spans="1:28" x14ac:dyDescent="0.25">
      <c r="A1798">
        <v>896</v>
      </c>
      <c r="B1798">
        <v>1132</v>
      </c>
      <c r="C1798" t="s">
        <v>3595</v>
      </c>
      <c r="D1798" t="s">
        <v>104</v>
      </c>
      <c r="E1798" t="s">
        <v>411</v>
      </c>
      <c r="F1798" t="s">
        <v>3691</v>
      </c>
      <c r="G1798" t="str">
        <f>"201406010740"</f>
        <v>201406010740</v>
      </c>
      <c r="H1798" t="s">
        <v>2554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70</v>
      </c>
      <c r="O1798">
        <v>0</v>
      </c>
      <c r="P1798">
        <v>30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X1798">
        <v>0</v>
      </c>
      <c r="Y1798">
        <v>0</v>
      </c>
      <c r="Z1798">
        <v>0</v>
      </c>
      <c r="AA1798">
        <v>0</v>
      </c>
      <c r="AB1798" t="s">
        <v>3692</v>
      </c>
    </row>
    <row r="1799" spans="1:28" x14ac:dyDescent="0.25">
      <c r="H1799" t="s">
        <v>3693</v>
      </c>
    </row>
    <row r="1800" spans="1:28" x14ac:dyDescent="0.25">
      <c r="A1800">
        <v>897</v>
      </c>
      <c r="B1800">
        <v>3294</v>
      </c>
      <c r="C1800" t="s">
        <v>3694</v>
      </c>
      <c r="D1800" t="s">
        <v>366</v>
      </c>
      <c r="E1800" t="s">
        <v>155</v>
      </c>
      <c r="F1800" t="s">
        <v>3695</v>
      </c>
      <c r="G1800" t="str">
        <f>"00233900"</f>
        <v>00233900</v>
      </c>
      <c r="H1800" t="s">
        <v>243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70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X1800">
        <v>0</v>
      </c>
      <c r="Y1800">
        <v>0</v>
      </c>
      <c r="Z1800">
        <v>0</v>
      </c>
      <c r="AA1800">
        <v>0</v>
      </c>
      <c r="AB1800" t="s">
        <v>3696</v>
      </c>
    </row>
    <row r="1801" spans="1:28" x14ac:dyDescent="0.25">
      <c r="H1801" t="s">
        <v>3697</v>
      </c>
    </row>
    <row r="1802" spans="1:28" x14ac:dyDescent="0.25">
      <c r="A1802">
        <v>898</v>
      </c>
      <c r="B1802">
        <v>1647</v>
      </c>
      <c r="C1802" t="s">
        <v>3698</v>
      </c>
      <c r="D1802" t="s">
        <v>840</v>
      </c>
      <c r="E1802" t="s">
        <v>14</v>
      </c>
      <c r="F1802" t="s">
        <v>3699</v>
      </c>
      <c r="G1802" t="str">
        <f>"00150087"</f>
        <v>00150087</v>
      </c>
      <c r="H1802" t="s">
        <v>1714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50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X1802">
        <v>0</v>
      </c>
      <c r="Y1802">
        <v>0</v>
      </c>
      <c r="Z1802">
        <v>0</v>
      </c>
      <c r="AA1802">
        <v>0</v>
      </c>
      <c r="AB1802" t="s">
        <v>3700</v>
      </c>
    </row>
    <row r="1803" spans="1:28" x14ac:dyDescent="0.25">
      <c r="H1803" t="s">
        <v>3701</v>
      </c>
    </row>
    <row r="1804" spans="1:28" x14ac:dyDescent="0.25">
      <c r="A1804">
        <v>899</v>
      </c>
      <c r="B1804">
        <v>4551</v>
      </c>
      <c r="C1804" t="s">
        <v>3702</v>
      </c>
      <c r="D1804" t="s">
        <v>1140</v>
      </c>
      <c r="E1804" t="s">
        <v>117</v>
      </c>
      <c r="F1804" t="s">
        <v>3703</v>
      </c>
      <c r="G1804" t="str">
        <f>"201505000326"</f>
        <v>201505000326</v>
      </c>
      <c r="H1804" t="s">
        <v>330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X1804">
        <v>0</v>
      </c>
      <c r="Y1804">
        <v>0</v>
      </c>
      <c r="Z1804">
        <v>0</v>
      </c>
      <c r="AA1804">
        <v>0</v>
      </c>
      <c r="AB1804" t="s">
        <v>3704</v>
      </c>
    </row>
    <row r="1805" spans="1:28" x14ac:dyDescent="0.25">
      <c r="H1805" t="s">
        <v>735</v>
      </c>
    </row>
    <row r="1806" spans="1:28" x14ac:dyDescent="0.25">
      <c r="A1806">
        <v>900</v>
      </c>
      <c r="B1806">
        <v>3069</v>
      </c>
      <c r="C1806" t="s">
        <v>3705</v>
      </c>
      <c r="D1806" t="s">
        <v>69</v>
      </c>
      <c r="E1806" t="s">
        <v>14</v>
      </c>
      <c r="F1806" t="s">
        <v>3706</v>
      </c>
      <c r="G1806" t="str">
        <f>"201406012986"</f>
        <v>201406012986</v>
      </c>
      <c r="H1806" t="s">
        <v>1554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30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X1806">
        <v>0</v>
      </c>
      <c r="Y1806">
        <v>0</v>
      </c>
      <c r="Z1806">
        <v>0</v>
      </c>
      <c r="AA1806">
        <v>0</v>
      </c>
      <c r="AB1806" t="s">
        <v>3707</v>
      </c>
    </row>
    <row r="1807" spans="1:28" x14ac:dyDescent="0.25">
      <c r="H1807" t="s">
        <v>3708</v>
      </c>
    </row>
    <row r="1808" spans="1:28" x14ac:dyDescent="0.25">
      <c r="A1808">
        <v>901</v>
      </c>
      <c r="B1808">
        <v>420</v>
      </c>
      <c r="C1808" t="s">
        <v>3709</v>
      </c>
      <c r="D1808" t="s">
        <v>480</v>
      </c>
      <c r="E1808" t="s">
        <v>155</v>
      </c>
      <c r="F1808" t="s">
        <v>3710</v>
      </c>
      <c r="G1808" t="str">
        <f>"201304002080"</f>
        <v>201304002080</v>
      </c>
      <c r="H1808" t="s">
        <v>1554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X1808">
        <v>0</v>
      </c>
      <c r="Y1808">
        <v>0</v>
      </c>
      <c r="Z1808">
        <v>0</v>
      </c>
      <c r="AA1808">
        <v>0</v>
      </c>
      <c r="AB1808" t="s">
        <v>3707</v>
      </c>
    </row>
    <row r="1809" spans="1:28" x14ac:dyDescent="0.25">
      <c r="H1809" t="s">
        <v>1195</v>
      </c>
    </row>
    <row r="1810" spans="1:28" x14ac:dyDescent="0.25">
      <c r="A1810">
        <v>902</v>
      </c>
      <c r="B1810">
        <v>1774</v>
      </c>
      <c r="C1810" t="s">
        <v>3711</v>
      </c>
      <c r="D1810" t="s">
        <v>1103</v>
      </c>
      <c r="E1810" t="s">
        <v>98</v>
      </c>
      <c r="F1810" t="s">
        <v>3712</v>
      </c>
      <c r="G1810" t="str">
        <f>"201604004039"</f>
        <v>201604004039</v>
      </c>
      <c r="H1810" t="s">
        <v>289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70</v>
      </c>
      <c r="O1810">
        <v>0</v>
      </c>
      <c r="P1810">
        <v>30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X1810">
        <v>0</v>
      </c>
      <c r="Y1810">
        <v>0</v>
      </c>
      <c r="Z1810">
        <v>0</v>
      </c>
      <c r="AA1810">
        <v>0</v>
      </c>
      <c r="AB1810" t="s">
        <v>3713</v>
      </c>
    </row>
    <row r="1811" spans="1:28" x14ac:dyDescent="0.25">
      <c r="H1811" t="s">
        <v>185</v>
      </c>
    </row>
    <row r="1812" spans="1:28" x14ac:dyDescent="0.25">
      <c r="A1812">
        <v>903</v>
      </c>
      <c r="B1812">
        <v>2446</v>
      </c>
      <c r="C1812" t="s">
        <v>3714</v>
      </c>
      <c r="D1812" t="s">
        <v>183</v>
      </c>
      <c r="E1812" t="s">
        <v>15</v>
      </c>
      <c r="F1812" t="s">
        <v>3715</v>
      </c>
      <c r="G1812" t="str">
        <f>"201406013857"</f>
        <v>201406013857</v>
      </c>
      <c r="H1812" t="s">
        <v>2193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70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X1812">
        <v>0</v>
      </c>
      <c r="Y1812">
        <v>0</v>
      </c>
      <c r="Z1812">
        <v>0</v>
      </c>
      <c r="AA1812">
        <v>0</v>
      </c>
      <c r="AB1812" t="s">
        <v>3716</v>
      </c>
    </row>
    <row r="1813" spans="1:28" x14ac:dyDescent="0.25">
      <c r="H1813" t="s">
        <v>3717</v>
      </c>
    </row>
    <row r="1814" spans="1:28" x14ac:dyDescent="0.25">
      <c r="A1814">
        <v>904</v>
      </c>
      <c r="B1814">
        <v>355</v>
      </c>
      <c r="C1814" t="s">
        <v>3718</v>
      </c>
      <c r="D1814" t="s">
        <v>14</v>
      </c>
      <c r="E1814" t="s">
        <v>247</v>
      </c>
      <c r="F1814" t="s">
        <v>3719</v>
      </c>
      <c r="G1814" t="str">
        <f>"00237422"</f>
        <v>00237422</v>
      </c>
      <c r="H1814" t="s">
        <v>3720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X1814">
        <v>0</v>
      </c>
      <c r="Y1814">
        <v>0</v>
      </c>
      <c r="Z1814">
        <v>3</v>
      </c>
      <c r="AA1814">
        <v>51</v>
      </c>
      <c r="AB1814" t="s">
        <v>3716</v>
      </c>
    </row>
    <row r="1815" spans="1:28" x14ac:dyDescent="0.25">
      <c r="H1815" t="s">
        <v>3721</v>
      </c>
    </row>
    <row r="1816" spans="1:28" x14ac:dyDescent="0.25">
      <c r="A1816">
        <v>905</v>
      </c>
      <c r="B1816">
        <v>2152</v>
      </c>
      <c r="C1816" t="s">
        <v>3722</v>
      </c>
      <c r="D1816" t="s">
        <v>43</v>
      </c>
      <c r="E1816" t="s">
        <v>311</v>
      </c>
      <c r="F1816" t="s">
        <v>3723</v>
      </c>
      <c r="G1816" t="str">
        <f>"201406015381"</f>
        <v>201406015381</v>
      </c>
      <c r="H1816" t="s">
        <v>1835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30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X1816">
        <v>0</v>
      </c>
      <c r="Y1816">
        <v>0</v>
      </c>
      <c r="Z1816">
        <v>0</v>
      </c>
      <c r="AA1816">
        <v>0</v>
      </c>
      <c r="AB1816" t="s">
        <v>3724</v>
      </c>
    </row>
    <row r="1817" spans="1:28" x14ac:dyDescent="0.25">
      <c r="H1817">
        <v>1009</v>
      </c>
    </row>
    <row r="1818" spans="1:28" x14ac:dyDescent="0.25">
      <c r="A1818">
        <v>906</v>
      </c>
      <c r="B1818">
        <v>11</v>
      </c>
      <c r="C1818" t="s">
        <v>3725</v>
      </c>
      <c r="D1818" t="s">
        <v>387</v>
      </c>
      <c r="E1818" t="s">
        <v>930</v>
      </c>
      <c r="F1818" t="s">
        <v>3726</v>
      </c>
      <c r="G1818" t="str">
        <f>"201406008821"</f>
        <v>201406008821</v>
      </c>
      <c r="H1818" t="s">
        <v>1835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X1818">
        <v>1</v>
      </c>
      <c r="Y1818">
        <v>0</v>
      </c>
      <c r="Z1818">
        <v>0</v>
      </c>
      <c r="AA1818">
        <v>0</v>
      </c>
      <c r="AB1818" t="s">
        <v>3724</v>
      </c>
    </row>
    <row r="1819" spans="1:28" x14ac:dyDescent="0.25">
      <c r="H1819" t="s">
        <v>3727</v>
      </c>
    </row>
    <row r="1820" spans="1:28" x14ac:dyDescent="0.25">
      <c r="A1820">
        <v>907</v>
      </c>
      <c r="B1820">
        <v>4262</v>
      </c>
      <c r="C1820" t="s">
        <v>3728</v>
      </c>
      <c r="D1820" t="s">
        <v>19</v>
      </c>
      <c r="E1820" t="s">
        <v>20</v>
      </c>
      <c r="F1820" t="s">
        <v>3729</v>
      </c>
      <c r="G1820" t="str">
        <f>"00117089"</f>
        <v>00117089</v>
      </c>
      <c r="H1820" t="s">
        <v>1750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70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X1820">
        <v>1</v>
      </c>
      <c r="Y1820">
        <v>0</v>
      </c>
      <c r="Z1820">
        <v>0</v>
      </c>
      <c r="AA1820">
        <v>0</v>
      </c>
      <c r="AB1820" t="s">
        <v>3730</v>
      </c>
    </row>
    <row r="1821" spans="1:28" x14ac:dyDescent="0.25">
      <c r="H1821" t="s">
        <v>3731</v>
      </c>
    </row>
    <row r="1822" spans="1:28" x14ac:dyDescent="0.25">
      <c r="A1822">
        <v>908</v>
      </c>
      <c r="B1822">
        <v>637</v>
      </c>
      <c r="C1822" t="s">
        <v>3591</v>
      </c>
      <c r="D1822" t="s">
        <v>155</v>
      </c>
      <c r="E1822" t="s">
        <v>14</v>
      </c>
      <c r="F1822" t="s">
        <v>3732</v>
      </c>
      <c r="G1822" t="str">
        <f>"00012006"</f>
        <v>00012006</v>
      </c>
      <c r="H1822" t="s">
        <v>1750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X1822">
        <v>0</v>
      </c>
      <c r="Y1822">
        <v>0</v>
      </c>
      <c r="Z1822">
        <v>0</v>
      </c>
      <c r="AA1822">
        <v>0</v>
      </c>
      <c r="AB1822" t="s">
        <v>3730</v>
      </c>
    </row>
    <row r="1823" spans="1:28" x14ac:dyDescent="0.25">
      <c r="H1823" t="s">
        <v>3733</v>
      </c>
    </row>
    <row r="1824" spans="1:28" x14ac:dyDescent="0.25">
      <c r="A1824">
        <v>909</v>
      </c>
      <c r="B1824">
        <v>4651</v>
      </c>
      <c r="C1824" t="s">
        <v>428</v>
      </c>
      <c r="D1824" t="s">
        <v>26</v>
      </c>
      <c r="E1824" t="s">
        <v>3734</v>
      </c>
      <c r="F1824" t="s">
        <v>3735</v>
      </c>
      <c r="G1824" t="str">
        <f>"00117371"</f>
        <v>00117371</v>
      </c>
      <c r="H1824" t="s">
        <v>1750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70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X1824">
        <v>0</v>
      </c>
      <c r="Y1824">
        <v>0</v>
      </c>
      <c r="Z1824">
        <v>0</v>
      </c>
      <c r="AA1824">
        <v>0</v>
      </c>
      <c r="AB1824" t="s">
        <v>3730</v>
      </c>
    </row>
    <row r="1825" spans="1:28" x14ac:dyDescent="0.25">
      <c r="H1825" t="s">
        <v>432</v>
      </c>
    </row>
    <row r="1826" spans="1:28" x14ac:dyDescent="0.25">
      <c r="A1826">
        <v>910</v>
      </c>
      <c r="B1826">
        <v>5364</v>
      </c>
      <c r="C1826" t="s">
        <v>3736</v>
      </c>
      <c r="D1826" t="s">
        <v>3737</v>
      </c>
      <c r="E1826" t="s">
        <v>50</v>
      </c>
      <c r="F1826" t="s">
        <v>3738</v>
      </c>
      <c r="G1826" t="str">
        <f>"00110439"</f>
        <v>00110439</v>
      </c>
      <c r="H1826" t="s">
        <v>1750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70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X1826">
        <v>0</v>
      </c>
      <c r="Y1826">
        <v>0</v>
      </c>
      <c r="Z1826">
        <v>0</v>
      </c>
      <c r="AA1826">
        <v>0</v>
      </c>
      <c r="AB1826" t="s">
        <v>3730</v>
      </c>
    </row>
    <row r="1827" spans="1:28" x14ac:dyDescent="0.25">
      <c r="H1827" t="s">
        <v>3739</v>
      </c>
    </row>
    <row r="1828" spans="1:28" x14ac:dyDescent="0.25">
      <c r="A1828">
        <v>911</v>
      </c>
      <c r="B1828">
        <v>2357</v>
      </c>
      <c r="C1828" t="s">
        <v>3740</v>
      </c>
      <c r="D1828" t="s">
        <v>3017</v>
      </c>
      <c r="E1828" t="s">
        <v>14</v>
      </c>
      <c r="F1828" t="s">
        <v>3741</v>
      </c>
      <c r="G1828" t="str">
        <f>"201304004571"</f>
        <v>201304004571</v>
      </c>
      <c r="H1828">
        <v>759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X1828">
        <v>0</v>
      </c>
      <c r="Y1828">
        <v>0</v>
      </c>
      <c r="Z1828">
        <v>0</v>
      </c>
      <c r="AA1828">
        <v>0</v>
      </c>
      <c r="AB1828">
        <v>789</v>
      </c>
    </row>
    <row r="1829" spans="1:28" x14ac:dyDescent="0.25">
      <c r="H1829" t="s">
        <v>3742</v>
      </c>
    </row>
    <row r="1830" spans="1:28" x14ac:dyDescent="0.25">
      <c r="A1830">
        <v>912</v>
      </c>
      <c r="B1830">
        <v>2550</v>
      </c>
      <c r="C1830" t="s">
        <v>3743</v>
      </c>
      <c r="D1830" t="s">
        <v>80</v>
      </c>
      <c r="E1830" t="s">
        <v>20</v>
      </c>
      <c r="F1830" t="s">
        <v>3744</v>
      </c>
      <c r="G1830" t="str">
        <f>"201103000316"</f>
        <v>201103000316</v>
      </c>
      <c r="H1830">
        <v>759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30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X1830">
        <v>0</v>
      </c>
      <c r="Y1830">
        <v>0</v>
      </c>
      <c r="Z1830">
        <v>0</v>
      </c>
      <c r="AA1830">
        <v>0</v>
      </c>
      <c r="AB1830">
        <v>789</v>
      </c>
    </row>
    <row r="1831" spans="1:28" x14ac:dyDescent="0.25">
      <c r="H1831" t="s">
        <v>3745</v>
      </c>
    </row>
    <row r="1832" spans="1:28" x14ac:dyDescent="0.25">
      <c r="A1832">
        <v>913</v>
      </c>
      <c r="B1832">
        <v>4213</v>
      </c>
      <c r="C1832" t="s">
        <v>3746</v>
      </c>
      <c r="D1832" t="s">
        <v>1362</v>
      </c>
      <c r="E1832" t="s">
        <v>117</v>
      </c>
      <c r="F1832" t="s">
        <v>3747</v>
      </c>
      <c r="G1832" t="str">
        <f>"201212000048"</f>
        <v>201212000048</v>
      </c>
      <c r="H1832" t="s">
        <v>2721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70</v>
      </c>
      <c r="O1832">
        <v>0</v>
      </c>
      <c r="P1832">
        <v>30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X1832">
        <v>0</v>
      </c>
      <c r="Y1832">
        <v>0</v>
      </c>
      <c r="Z1832">
        <v>0</v>
      </c>
      <c r="AA1832">
        <v>0</v>
      </c>
      <c r="AB1832" t="s">
        <v>3748</v>
      </c>
    </row>
    <row r="1833" spans="1:28" x14ac:dyDescent="0.25">
      <c r="H1833" t="s">
        <v>102</v>
      </c>
    </row>
    <row r="1834" spans="1:28" x14ac:dyDescent="0.25">
      <c r="A1834">
        <v>914</v>
      </c>
      <c r="B1834">
        <v>1448</v>
      </c>
      <c r="C1834" t="s">
        <v>3749</v>
      </c>
      <c r="D1834" t="s">
        <v>179</v>
      </c>
      <c r="E1834" t="s">
        <v>20</v>
      </c>
      <c r="F1834" t="s">
        <v>3750</v>
      </c>
      <c r="G1834" t="str">
        <f>"201304000802"</f>
        <v>201304000802</v>
      </c>
      <c r="H1834" t="s">
        <v>1862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X1834">
        <v>0</v>
      </c>
      <c r="Y1834">
        <v>0</v>
      </c>
      <c r="Z1834">
        <v>0</v>
      </c>
      <c r="AA1834">
        <v>0</v>
      </c>
      <c r="AB1834" t="s">
        <v>3751</v>
      </c>
    </row>
    <row r="1835" spans="1:28" x14ac:dyDescent="0.25">
      <c r="H1835" t="s">
        <v>3752</v>
      </c>
    </row>
    <row r="1836" spans="1:28" x14ac:dyDescent="0.25">
      <c r="A1836">
        <v>915</v>
      </c>
      <c r="B1836">
        <v>4336</v>
      </c>
      <c r="C1836" t="s">
        <v>3753</v>
      </c>
      <c r="D1836" t="s">
        <v>183</v>
      </c>
      <c r="E1836" t="s">
        <v>51</v>
      </c>
      <c r="F1836" t="s">
        <v>3754</v>
      </c>
      <c r="G1836" t="str">
        <f>"200802008883"</f>
        <v>200802008883</v>
      </c>
      <c r="H1836" t="s">
        <v>1123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50</v>
      </c>
      <c r="O1836">
        <v>30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X1836">
        <v>0</v>
      </c>
      <c r="Y1836">
        <v>0</v>
      </c>
      <c r="Z1836">
        <v>0</v>
      </c>
      <c r="AA1836">
        <v>0</v>
      </c>
      <c r="AB1836" t="s">
        <v>3755</v>
      </c>
    </row>
    <row r="1837" spans="1:28" x14ac:dyDescent="0.25">
      <c r="H1837" t="s">
        <v>3756</v>
      </c>
    </row>
    <row r="1838" spans="1:28" x14ac:dyDescent="0.25">
      <c r="A1838">
        <v>916</v>
      </c>
      <c r="B1838">
        <v>3482</v>
      </c>
      <c r="C1838" t="s">
        <v>3757</v>
      </c>
      <c r="D1838" t="s">
        <v>43</v>
      </c>
      <c r="E1838" t="s">
        <v>98</v>
      </c>
      <c r="F1838" t="s">
        <v>3758</v>
      </c>
      <c r="G1838" t="str">
        <f>"200806000423"</f>
        <v>200806000423</v>
      </c>
      <c r="H1838" t="s">
        <v>3282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70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X1838">
        <v>1</v>
      </c>
      <c r="Y1838">
        <v>0</v>
      </c>
      <c r="Z1838">
        <v>0</v>
      </c>
      <c r="AA1838">
        <v>0</v>
      </c>
      <c r="AB1838" t="s">
        <v>3759</v>
      </c>
    </row>
    <row r="1839" spans="1:28" x14ac:dyDescent="0.25">
      <c r="H1839" t="s">
        <v>3760</v>
      </c>
    </row>
    <row r="1840" spans="1:28" x14ac:dyDescent="0.25">
      <c r="A1840">
        <v>917</v>
      </c>
      <c r="B1840">
        <v>3738</v>
      </c>
      <c r="C1840" t="s">
        <v>3761</v>
      </c>
      <c r="D1840" t="s">
        <v>80</v>
      </c>
      <c r="E1840" t="s">
        <v>117</v>
      </c>
      <c r="F1840" t="s">
        <v>3762</v>
      </c>
      <c r="G1840" t="str">
        <f>"00167496"</f>
        <v>00167496</v>
      </c>
      <c r="H1840" t="s">
        <v>3282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70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X1840">
        <v>0</v>
      </c>
      <c r="Y1840">
        <v>0</v>
      </c>
      <c r="Z1840">
        <v>0</v>
      </c>
      <c r="AA1840">
        <v>0</v>
      </c>
      <c r="AB1840" t="s">
        <v>3759</v>
      </c>
    </row>
    <row r="1841" spans="1:28" x14ac:dyDescent="0.25">
      <c r="H1841" t="s">
        <v>3763</v>
      </c>
    </row>
    <row r="1842" spans="1:28" x14ac:dyDescent="0.25">
      <c r="A1842">
        <v>918</v>
      </c>
      <c r="B1842">
        <v>2568</v>
      </c>
      <c r="C1842" t="s">
        <v>3764</v>
      </c>
      <c r="D1842" t="s">
        <v>265</v>
      </c>
      <c r="E1842" t="s">
        <v>2119</v>
      </c>
      <c r="F1842" t="s">
        <v>3765</v>
      </c>
      <c r="G1842" t="str">
        <f>"00117818"</f>
        <v>00117818</v>
      </c>
      <c r="H1842" t="s">
        <v>583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X1842">
        <v>0</v>
      </c>
      <c r="Y1842">
        <v>0</v>
      </c>
      <c r="Z1842">
        <v>0</v>
      </c>
      <c r="AA1842">
        <v>0</v>
      </c>
      <c r="AB1842" t="s">
        <v>3766</v>
      </c>
    </row>
    <row r="1843" spans="1:28" x14ac:dyDescent="0.25">
      <c r="H1843" t="s">
        <v>3767</v>
      </c>
    </row>
    <row r="1844" spans="1:28" x14ac:dyDescent="0.25">
      <c r="A1844">
        <v>919</v>
      </c>
      <c r="B1844">
        <v>2086</v>
      </c>
      <c r="C1844" t="s">
        <v>2382</v>
      </c>
      <c r="D1844" t="s">
        <v>44</v>
      </c>
      <c r="E1844" t="s">
        <v>14</v>
      </c>
      <c r="F1844" t="s">
        <v>3768</v>
      </c>
      <c r="G1844" t="str">
        <f>"201406012427"</f>
        <v>201406012427</v>
      </c>
      <c r="H1844" t="s">
        <v>413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50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X1844">
        <v>0</v>
      </c>
      <c r="Y1844">
        <v>0</v>
      </c>
      <c r="Z1844">
        <v>0</v>
      </c>
      <c r="AA1844">
        <v>0</v>
      </c>
      <c r="AB1844" t="s">
        <v>3769</v>
      </c>
    </row>
    <row r="1845" spans="1:28" x14ac:dyDescent="0.25">
      <c r="H1845" t="s">
        <v>1716</v>
      </c>
    </row>
    <row r="1846" spans="1:28" x14ac:dyDescent="0.25">
      <c r="A1846">
        <v>920</v>
      </c>
      <c r="B1846">
        <v>3324</v>
      </c>
      <c r="C1846" t="s">
        <v>3770</v>
      </c>
      <c r="D1846" t="s">
        <v>1362</v>
      </c>
      <c r="E1846" t="s">
        <v>1036</v>
      </c>
      <c r="F1846" t="s">
        <v>3771</v>
      </c>
      <c r="G1846" t="str">
        <f>"00094809"</f>
        <v>00094809</v>
      </c>
      <c r="H1846" t="s">
        <v>3622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70</v>
      </c>
      <c r="O1846">
        <v>0</v>
      </c>
      <c r="P1846">
        <v>0</v>
      </c>
      <c r="Q1846">
        <v>30</v>
      </c>
      <c r="R1846">
        <v>0</v>
      </c>
      <c r="S1846">
        <v>0</v>
      </c>
      <c r="T1846">
        <v>0</v>
      </c>
      <c r="U1846">
        <v>0</v>
      </c>
      <c r="V1846">
        <v>0</v>
      </c>
      <c r="X1846">
        <v>0</v>
      </c>
      <c r="Y1846">
        <v>0</v>
      </c>
      <c r="Z1846">
        <v>0</v>
      </c>
      <c r="AA1846">
        <v>0</v>
      </c>
      <c r="AB1846" t="s">
        <v>3772</v>
      </c>
    </row>
    <row r="1847" spans="1:28" x14ac:dyDescent="0.25">
      <c r="H1847" t="s">
        <v>3773</v>
      </c>
    </row>
    <row r="1848" spans="1:28" x14ac:dyDescent="0.25">
      <c r="A1848">
        <v>921</v>
      </c>
      <c r="B1848">
        <v>4465</v>
      </c>
      <c r="C1848" t="s">
        <v>2602</v>
      </c>
      <c r="D1848" t="s">
        <v>14</v>
      </c>
      <c r="E1848" t="s">
        <v>50</v>
      </c>
      <c r="F1848" t="s">
        <v>3774</v>
      </c>
      <c r="G1848" t="str">
        <f>"00243590"</f>
        <v>00243590</v>
      </c>
      <c r="H1848" t="s">
        <v>1497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70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X1848">
        <v>0</v>
      </c>
      <c r="Y1848">
        <v>0</v>
      </c>
      <c r="Z1848">
        <v>0</v>
      </c>
      <c r="AA1848">
        <v>0</v>
      </c>
      <c r="AB1848" t="s">
        <v>3775</v>
      </c>
    </row>
    <row r="1849" spans="1:28" x14ac:dyDescent="0.25">
      <c r="H1849" t="s">
        <v>3776</v>
      </c>
    </row>
    <row r="1850" spans="1:28" x14ac:dyDescent="0.25">
      <c r="A1850">
        <v>922</v>
      </c>
      <c r="B1850">
        <v>1453</v>
      </c>
      <c r="C1850" t="s">
        <v>3777</v>
      </c>
      <c r="D1850" t="s">
        <v>84</v>
      </c>
      <c r="E1850" t="s">
        <v>20</v>
      </c>
      <c r="F1850" t="s">
        <v>3778</v>
      </c>
      <c r="G1850" t="str">
        <f>"201511012415"</f>
        <v>201511012415</v>
      </c>
      <c r="H1850" t="s">
        <v>1229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X1850">
        <v>0</v>
      </c>
      <c r="Y1850">
        <v>0</v>
      </c>
      <c r="Z1850">
        <v>0</v>
      </c>
      <c r="AA1850">
        <v>0</v>
      </c>
      <c r="AB1850" t="s">
        <v>3779</v>
      </c>
    </row>
    <row r="1851" spans="1:28" x14ac:dyDescent="0.25">
      <c r="H1851" t="s">
        <v>3780</v>
      </c>
    </row>
    <row r="1852" spans="1:28" x14ac:dyDescent="0.25">
      <c r="A1852">
        <v>923</v>
      </c>
      <c r="B1852">
        <v>5336</v>
      </c>
      <c r="C1852" t="s">
        <v>3781</v>
      </c>
      <c r="D1852" t="s">
        <v>14</v>
      </c>
      <c r="E1852" t="s">
        <v>20</v>
      </c>
      <c r="F1852" t="s">
        <v>3782</v>
      </c>
      <c r="G1852" t="str">
        <f>"00209185"</f>
        <v>00209185</v>
      </c>
      <c r="H1852" t="s">
        <v>1229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X1852">
        <v>0</v>
      </c>
      <c r="Y1852">
        <v>0</v>
      </c>
      <c r="Z1852">
        <v>0</v>
      </c>
      <c r="AA1852">
        <v>0</v>
      </c>
      <c r="AB1852" t="s">
        <v>3779</v>
      </c>
    </row>
    <row r="1853" spans="1:28" x14ac:dyDescent="0.25">
      <c r="H1853">
        <v>1009</v>
      </c>
    </row>
    <row r="1854" spans="1:28" x14ac:dyDescent="0.25">
      <c r="A1854">
        <v>924</v>
      </c>
      <c r="B1854">
        <v>2711</v>
      </c>
      <c r="C1854" t="s">
        <v>3783</v>
      </c>
      <c r="D1854" t="s">
        <v>187</v>
      </c>
      <c r="E1854" t="s">
        <v>161</v>
      </c>
      <c r="F1854" t="s">
        <v>3784</v>
      </c>
      <c r="G1854" t="str">
        <f>"00015361"</f>
        <v>00015361</v>
      </c>
      <c r="H1854" t="s">
        <v>1229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X1854">
        <v>1</v>
      </c>
      <c r="Y1854">
        <v>0</v>
      </c>
      <c r="Z1854">
        <v>0</v>
      </c>
      <c r="AA1854">
        <v>0</v>
      </c>
      <c r="AB1854" t="s">
        <v>3779</v>
      </c>
    </row>
    <row r="1855" spans="1:28" x14ac:dyDescent="0.25">
      <c r="H1855" t="s">
        <v>3785</v>
      </c>
    </row>
    <row r="1856" spans="1:28" x14ac:dyDescent="0.25">
      <c r="A1856">
        <v>925</v>
      </c>
      <c r="B1856">
        <v>3441</v>
      </c>
      <c r="C1856" t="s">
        <v>3786</v>
      </c>
      <c r="D1856" t="s">
        <v>20</v>
      </c>
      <c r="E1856" t="s">
        <v>3787</v>
      </c>
      <c r="F1856" t="s">
        <v>3788</v>
      </c>
      <c r="G1856" t="str">
        <f>"00367119"</f>
        <v>00367119</v>
      </c>
      <c r="H1856" t="s">
        <v>3171</v>
      </c>
      <c r="I1856">
        <v>0</v>
      </c>
      <c r="J1856">
        <v>0</v>
      </c>
      <c r="K1856">
        <v>0</v>
      </c>
      <c r="L1856">
        <v>0</v>
      </c>
      <c r="M1856">
        <v>100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X1856">
        <v>0</v>
      </c>
      <c r="Y1856">
        <v>0</v>
      </c>
      <c r="Z1856">
        <v>0</v>
      </c>
      <c r="AA1856">
        <v>0</v>
      </c>
      <c r="AB1856" t="s">
        <v>3789</v>
      </c>
    </row>
    <row r="1857" spans="1:28" x14ac:dyDescent="0.25">
      <c r="H1857">
        <v>1009</v>
      </c>
    </row>
    <row r="1858" spans="1:28" x14ac:dyDescent="0.25">
      <c r="A1858">
        <v>926</v>
      </c>
      <c r="B1858">
        <v>1208</v>
      </c>
      <c r="C1858" t="s">
        <v>3790</v>
      </c>
      <c r="D1858" t="s">
        <v>3791</v>
      </c>
      <c r="E1858" t="s">
        <v>20</v>
      </c>
      <c r="F1858" t="s">
        <v>3792</v>
      </c>
      <c r="G1858" t="str">
        <f>"00011604"</f>
        <v>00011604</v>
      </c>
      <c r="H1858" t="s">
        <v>977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70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X1858">
        <v>0</v>
      </c>
      <c r="Y1858">
        <v>0</v>
      </c>
      <c r="Z1858">
        <v>0</v>
      </c>
      <c r="AA1858">
        <v>0</v>
      </c>
      <c r="AB1858" t="s">
        <v>3793</v>
      </c>
    </row>
    <row r="1859" spans="1:28" x14ac:dyDescent="0.25">
      <c r="H1859" t="s">
        <v>3794</v>
      </c>
    </row>
    <row r="1860" spans="1:28" x14ac:dyDescent="0.25">
      <c r="A1860">
        <v>927</v>
      </c>
      <c r="B1860">
        <v>4020</v>
      </c>
      <c r="C1860" t="s">
        <v>3795</v>
      </c>
      <c r="D1860" t="s">
        <v>471</v>
      </c>
      <c r="E1860" t="s">
        <v>80</v>
      </c>
      <c r="F1860" t="s">
        <v>3796</v>
      </c>
      <c r="G1860" t="str">
        <f>"201506000119"</f>
        <v>201506000119</v>
      </c>
      <c r="H1860" t="s">
        <v>977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70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X1860">
        <v>0</v>
      </c>
      <c r="Y1860">
        <v>0</v>
      </c>
      <c r="Z1860">
        <v>0</v>
      </c>
      <c r="AA1860">
        <v>0</v>
      </c>
      <c r="AB1860" t="s">
        <v>3793</v>
      </c>
    </row>
    <row r="1861" spans="1:28" x14ac:dyDescent="0.25">
      <c r="H1861" t="s">
        <v>3797</v>
      </c>
    </row>
    <row r="1862" spans="1:28" x14ac:dyDescent="0.25">
      <c r="A1862">
        <v>928</v>
      </c>
      <c r="B1862">
        <v>5071</v>
      </c>
      <c r="C1862" t="s">
        <v>3798</v>
      </c>
      <c r="D1862" t="s">
        <v>306</v>
      </c>
      <c r="E1862" t="s">
        <v>80</v>
      </c>
      <c r="F1862" t="s">
        <v>3799</v>
      </c>
      <c r="G1862" t="str">
        <f>"201304000568"</f>
        <v>201304000568</v>
      </c>
      <c r="H1862" t="s">
        <v>977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70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X1862">
        <v>0</v>
      </c>
      <c r="Y1862">
        <v>0</v>
      </c>
      <c r="Z1862">
        <v>0</v>
      </c>
      <c r="AA1862">
        <v>0</v>
      </c>
      <c r="AB1862" t="s">
        <v>3793</v>
      </c>
    </row>
    <row r="1863" spans="1:28" x14ac:dyDescent="0.25">
      <c r="H1863" t="s">
        <v>3800</v>
      </c>
    </row>
    <row r="1864" spans="1:28" x14ac:dyDescent="0.25">
      <c r="A1864">
        <v>929</v>
      </c>
      <c r="B1864">
        <v>932</v>
      </c>
      <c r="C1864" t="s">
        <v>3595</v>
      </c>
      <c r="D1864" t="s">
        <v>303</v>
      </c>
      <c r="E1864" t="s">
        <v>155</v>
      </c>
      <c r="F1864" t="s">
        <v>3801</v>
      </c>
      <c r="G1864" t="str">
        <f>"201304001967"</f>
        <v>201304001967</v>
      </c>
      <c r="H1864" t="s">
        <v>2173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30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X1864">
        <v>0</v>
      </c>
      <c r="Y1864">
        <v>0</v>
      </c>
      <c r="Z1864">
        <v>0</v>
      </c>
      <c r="AA1864">
        <v>0</v>
      </c>
      <c r="AB1864" t="s">
        <v>3802</v>
      </c>
    </row>
    <row r="1865" spans="1:28" x14ac:dyDescent="0.25">
      <c r="H1865" t="s">
        <v>3803</v>
      </c>
    </row>
    <row r="1866" spans="1:28" x14ac:dyDescent="0.25">
      <c r="A1866">
        <v>930</v>
      </c>
      <c r="B1866">
        <v>2404</v>
      </c>
      <c r="C1866" t="s">
        <v>3804</v>
      </c>
      <c r="D1866" t="s">
        <v>19</v>
      </c>
      <c r="E1866" t="s">
        <v>1036</v>
      </c>
      <c r="F1866" t="s">
        <v>3805</v>
      </c>
      <c r="G1866" t="str">
        <f>"201406013519"</f>
        <v>201406013519</v>
      </c>
      <c r="H1866" t="s">
        <v>1249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70</v>
      </c>
      <c r="O1866">
        <v>0</v>
      </c>
      <c r="P1866">
        <v>70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X1866">
        <v>0</v>
      </c>
      <c r="Y1866">
        <v>0</v>
      </c>
      <c r="Z1866">
        <v>0</v>
      </c>
      <c r="AA1866">
        <v>0</v>
      </c>
      <c r="AB1866" t="s">
        <v>3806</v>
      </c>
    </row>
    <row r="1867" spans="1:28" x14ac:dyDescent="0.25">
      <c r="H1867" t="s">
        <v>3807</v>
      </c>
    </row>
    <row r="1868" spans="1:28" x14ac:dyDescent="0.25">
      <c r="A1868">
        <v>931</v>
      </c>
      <c r="B1868">
        <v>195</v>
      </c>
      <c r="C1868" t="s">
        <v>3808</v>
      </c>
      <c r="D1868" t="s">
        <v>187</v>
      </c>
      <c r="E1868" t="s">
        <v>20</v>
      </c>
      <c r="F1868" t="s">
        <v>3809</v>
      </c>
      <c r="G1868" t="str">
        <f>"201506001503"</f>
        <v>201506001503</v>
      </c>
      <c r="H1868" t="s">
        <v>2188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30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X1868">
        <v>0</v>
      </c>
      <c r="Y1868">
        <v>0</v>
      </c>
      <c r="Z1868">
        <v>0</v>
      </c>
      <c r="AA1868">
        <v>0</v>
      </c>
      <c r="AB1868" t="s">
        <v>3810</v>
      </c>
    </row>
    <row r="1869" spans="1:28" x14ac:dyDescent="0.25">
      <c r="H1869">
        <v>1009</v>
      </c>
    </row>
    <row r="1870" spans="1:28" x14ac:dyDescent="0.25">
      <c r="A1870">
        <v>932</v>
      </c>
      <c r="B1870">
        <v>3579</v>
      </c>
      <c r="C1870" t="s">
        <v>3811</v>
      </c>
      <c r="D1870" t="s">
        <v>187</v>
      </c>
      <c r="E1870" t="s">
        <v>930</v>
      </c>
      <c r="F1870" t="s">
        <v>3812</v>
      </c>
      <c r="G1870" t="str">
        <f>"00202054"</f>
        <v>00202054</v>
      </c>
      <c r="H1870" t="s">
        <v>267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30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X1870">
        <v>0</v>
      </c>
      <c r="Y1870">
        <v>0</v>
      </c>
      <c r="Z1870">
        <v>0</v>
      </c>
      <c r="AA1870">
        <v>0</v>
      </c>
      <c r="AB1870" t="s">
        <v>3813</v>
      </c>
    </row>
    <row r="1871" spans="1:28" x14ac:dyDescent="0.25">
      <c r="H1871">
        <v>1009</v>
      </c>
    </row>
    <row r="1872" spans="1:28" x14ac:dyDescent="0.25">
      <c r="A1872">
        <v>933</v>
      </c>
      <c r="B1872">
        <v>4378</v>
      </c>
      <c r="C1872" t="s">
        <v>3814</v>
      </c>
      <c r="D1872" t="s">
        <v>306</v>
      </c>
      <c r="E1872" t="s">
        <v>15</v>
      </c>
      <c r="F1872" t="s">
        <v>3815</v>
      </c>
      <c r="G1872" t="str">
        <f>"00117138"</f>
        <v>00117138</v>
      </c>
      <c r="H1872" t="s">
        <v>3816</v>
      </c>
      <c r="I1872">
        <v>0</v>
      </c>
      <c r="J1872">
        <v>0</v>
      </c>
      <c r="K1872">
        <v>0</v>
      </c>
      <c r="L1872">
        <v>0</v>
      </c>
      <c r="M1872">
        <v>100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X1872">
        <v>0</v>
      </c>
      <c r="Y1872">
        <v>0</v>
      </c>
      <c r="Z1872">
        <v>0</v>
      </c>
      <c r="AA1872">
        <v>0</v>
      </c>
      <c r="AB1872" t="s">
        <v>3817</v>
      </c>
    </row>
    <row r="1873" spans="1:28" x14ac:dyDescent="0.25">
      <c r="H1873" t="s">
        <v>2219</v>
      </c>
    </row>
    <row r="1874" spans="1:28" x14ac:dyDescent="0.25">
      <c r="A1874">
        <v>934</v>
      </c>
      <c r="B1874">
        <v>1330</v>
      </c>
      <c r="C1874" t="s">
        <v>3818</v>
      </c>
      <c r="D1874" t="s">
        <v>366</v>
      </c>
      <c r="E1874" t="s">
        <v>1036</v>
      </c>
      <c r="F1874" t="s">
        <v>3819</v>
      </c>
      <c r="G1874" t="str">
        <f>"00313265"</f>
        <v>00313265</v>
      </c>
      <c r="H1874" t="s">
        <v>1412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50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X1874">
        <v>0</v>
      </c>
      <c r="Y1874">
        <v>0</v>
      </c>
      <c r="Z1874">
        <v>0</v>
      </c>
      <c r="AA1874">
        <v>0</v>
      </c>
      <c r="AB1874" t="s">
        <v>3820</v>
      </c>
    </row>
    <row r="1875" spans="1:28" x14ac:dyDescent="0.25">
      <c r="H1875" t="s">
        <v>3206</v>
      </c>
    </row>
    <row r="1876" spans="1:28" x14ac:dyDescent="0.25">
      <c r="A1876">
        <v>935</v>
      </c>
      <c r="B1876">
        <v>3737</v>
      </c>
      <c r="C1876" t="s">
        <v>3821</v>
      </c>
      <c r="D1876" t="s">
        <v>179</v>
      </c>
      <c r="E1876" t="s">
        <v>155</v>
      </c>
      <c r="F1876" t="s">
        <v>3822</v>
      </c>
      <c r="G1876" t="str">
        <f>"201303000582"</f>
        <v>201303000582</v>
      </c>
      <c r="H1876" t="s">
        <v>3720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70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X1876">
        <v>0</v>
      </c>
      <c r="Y1876">
        <v>0</v>
      </c>
      <c r="Z1876">
        <v>0</v>
      </c>
      <c r="AA1876">
        <v>0</v>
      </c>
      <c r="AB1876" t="s">
        <v>3823</v>
      </c>
    </row>
    <row r="1877" spans="1:28" x14ac:dyDescent="0.25">
      <c r="H1877" t="s">
        <v>3824</v>
      </c>
    </row>
    <row r="1878" spans="1:28" x14ac:dyDescent="0.25">
      <c r="A1878">
        <v>936</v>
      </c>
      <c r="B1878">
        <v>4045</v>
      </c>
      <c r="C1878" t="s">
        <v>3825</v>
      </c>
      <c r="D1878" t="s">
        <v>26</v>
      </c>
      <c r="E1878" t="s">
        <v>80</v>
      </c>
      <c r="F1878" t="s">
        <v>3826</v>
      </c>
      <c r="G1878" t="str">
        <f>"00341483"</f>
        <v>00341483</v>
      </c>
      <c r="H1878" t="s">
        <v>284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30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X1878">
        <v>0</v>
      </c>
      <c r="Y1878">
        <v>0</v>
      </c>
      <c r="Z1878">
        <v>0</v>
      </c>
      <c r="AA1878">
        <v>0</v>
      </c>
      <c r="AB1878" t="s">
        <v>3827</v>
      </c>
    </row>
    <row r="1879" spans="1:28" x14ac:dyDescent="0.25">
      <c r="H1879">
        <v>1009</v>
      </c>
    </row>
    <row r="1880" spans="1:28" x14ac:dyDescent="0.25">
      <c r="A1880">
        <v>937</v>
      </c>
      <c r="B1880">
        <v>1006</v>
      </c>
      <c r="C1880" t="s">
        <v>20</v>
      </c>
      <c r="D1880" t="s">
        <v>3828</v>
      </c>
      <c r="E1880" t="s">
        <v>587</v>
      </c>
      <c r="F1880" t="s">
        <v>3829</v>
      </c>
      <c r="G1880" t="str">
        <f>"00114121"</f>
        <v>00114121</v>
      </c>
      <c r="H1880" t="s">
        <v>284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X1880">
        <v>0</v>
      </c>
      <c r="Y1880">
        <v>0</v>
      </c>
      <c r="Z1880">
        <v>0</v>
      </c>
      <c r="AA1880">
        <v>0</v>
      </c>
      <c r="AB1880" t="s">
        <v>3827</v>
      </c>
    </row>
    <row r="1881" spans="1:28" x14ac:dyDescent="0.25">
      <c r="H1881" t="s">
        <v>3830</v>
      </c>
    </row>
    <row r="1882" spans="1:28" x14ac:dyDescent="0.25">
      <c r="A1882">
        <v>938</v>
      </c>
      <c r="B1882">
        <v>3564</v>
      </c>
      <c r="C1882" t="s">
        <v>3831</v>
      </c>
      <c r="D1882" t="s">
        <v>3832</v>
      </c>
      <c r="E1882" t="s">
        <v>14</v>
      </c>
      <c r="F1882" t="s">
        <v>3833</v>
      </c>
      <c r="G1882" t="str">
        <f>"201511039239"</f>
        <v>201511039239</v>
      </c>
      <c r="H1882" t="s">
        <v>284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X1882">
        <v>0</v>
      </c>
      <c r="Y1882">
        <v>0</v>
      </c>
      <c r="Z1882">
        <v>0</v>
      </c>
      <c r="AA1882">
        <v>0</v>
      </c>
      <c r="AB1882" t="s">
        <v>3827</v>
      </c>
    </row>
    <row r="1883" spans="1:28" x14ac:dyDescent="0.25">
      <c r="H1883" t="s">
        <v>3834</v>
      </c>
    </row>
    <row r="1884" spans="1:28" x14ac:dyDescent="0.25">
      <c r="A1884">
        <v>939</v>
      </c>
      <c r="B1884">
        <v>2683</v>
      </c>
      <c r="C1884" t="s">
        <v>3835</v>
      </c>
      <c r="D1884" t="s">
        <v>1102</v>
      </c>
      <c r="E1884" t="s">
        <v>311</v>
      </c>
      <c r="F1884" t="s">
        <v>3836</v>
      </c>
      <c r="G1884" t="str">
        <f>"00217641"</f>
        <v>00217641</v>
      </c>
      <c r="H1884">
        <v>649</v>
      </c>
      <c r="I1884">
        <v>0</v>
      </c>
      <c r="J1884">
        <v>0</v>
      </c>
      <c r="K1884">
        <v>0</v>
      </c>
      <c r="L1884">
        <v>0</v>
      </c>
      <c r="M1884">
        <v>100</v>
      </c>
      <c r="N1884">
        <v>30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X1884">
        <v>0</v>
      </c>
      <c r="Y1884">
        <v>0</v>
      </c>
      <c r="Z1884">
        <v>0</v>
      </c>
      <c r="AA1884">
        <v>0</v>
      </c>
      <c r="AB1884">
        <v>779</v>
      </c>
    </row>
    <row r="1885" spans="1:28" x14ac:dyDescent="0.25">
      <c r="H1885" t="s">
        <v>3837</v>
      </c>
    </row>
    <row r="1886" spans="1:28" x14ac:dyDescent="0.25">
      <c r="A1886">
        <v>940</v>
      </c>
      <c r="B1886">
        <v>3603</v>
      </c>
      <c r="C1886" t="s">
        <v>3838</v>
      </c>
      <c r="D1886" t="s">
        <v>2541</v>
      </c>
      <c r="E1886" t="s">
        <v>218</v>
      </c>
      <c r="F1886" t="s">
        <v>3839</v>
      </c>
      <c r="G1886" t="str">
        <f>"00231753"</f>
        <v>00231753</v>
      </c>
      <c r="H1886" t="s">
        <v>1202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50</v>
      </c>
      <c r="O1886">
        <v>0</v>
      </c>
      <c r="P1886">
        <v>50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X1886">
        <v>0</v>
      </c>
      <c r="Y1886">
        <v>0</v>
      </c>
      <c r="Z1886">
        <v>0</v>
      </c>
      <c r="AA1886">
        <v>0</v>
      </c>
      <c r="AB1886" t="s">
        <v>3840</v>
      </c>
    </row>
    <row r="1887" spans="1:28" x14ac:dyDescent="0.25">
      <c r="H1887">
        <v>1009</v>
      </c>
    </row>
    <row r="1888" spans="1:28" x14ac:dyDescent="0.25">
      <c r="A1888">
        <v>941</v>
      </c>
      <c r="B1888">
        <v>5123</v>
      </c>
      <c r="C1888" t="s">
        <v>3841</v>
      </c>
      <c r="D1888" t="s">
        <v>19</v>
      </c>
      <c r="E1888" t="s">
        <v>14</v>
      </c>
      <c r="F1888" t="s">
        <v>3842</v>
      </c>
      <c r="G1888" t="str">
        <f>"00102752"</f>
        <v>00102752</v>
      </c>
      <c r="H1888" t="s">
        <v>2273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70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X1888">
        <v>0</v>
      </c>
      <c r="Y1888">
        <v>0</v>
      </c>
      <c r="Z1888">
        <v>0</v>
      </c>
      <c r="AA1888">
        <v>0</v>
      </c>
      <c r="AB1888" t="s">
        <v>3843</v>
      </c>
    </row>
    <row r="1889" spans="1:28" x14ac:dyDescent="0.25">
      <c r="H1889" t="s">
        <v>3844</v>
      </c>
    </row>
    <row r="1890" spans="1:28" x14ac:dyDescent="0.25">
      <c r="A1890">
        <v>942</v>
      </c>
      <c r="B1890">
        <v>4598</v>
      </c>
      <c r="C1890" t="s">
        <v>3845</v>
      </c>
      <c r="D1890" t="s">
        <v>44</v>
      </c>
      <c r="E1890" t="s">
        <v>50</v>
      </c>
      <c r="F1890" t="s">
        <v>3846</v>
      </c>
      <c r="G1890" t="str">
        <f>"00255294"</f>
        <v>00255294</v>
      </c>
      <c r="H1890" t="s">
        <v>2273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70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X1890">
        <v>0</v>
      </c>
      <c r="Y1890">
        <v>0</v>
      </c>
      <c r="Z1890">
        <v>0</v>
      </c>
      <c r="AA1890">
        <v>0</v>
      </c>
      <c r="AB1890" t="s">
        <v>3843</v>
      </c>
    </row>
    <row r="1891" spans="1:28" x14ac:dyDescent="0.25">
      <c r="H1891" t="s">
        <v>1478</v>
      </c>
    </row>
    <row r="1892" spans="1:28" x14ac:dyDescent="0.25">
      <c r="A1892">
        <v>943</v>
      </c>
      <c r="B1892">
        <v>4589</v>
      </c>
      <c r="C1892" t="s">
        <v>3847</v>
      </c>
      <c r="D1892" t="s">
        <v>311</v>
      </c>
      <c r="E1892" t="s">
        <v>32</v>
      </c>
      <c r="F1892" t="s">
        <v>3848</v>
      </c>
      <c r="G1892" t="str">
        <f>"00129242"</f>
        <v>00129242</v>
      </c>
      <c r="H1892">
        <v>748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X1892">
        <v>0</v>
      </c>
      <c r="Y1892">
        <v>0</v>
      </c>
      <c r="Z1892">
        <v>0</v>
      </c>
      <c r="AA1892">
        <v>0</v>
      </c>
      <c r="AB1892">
        <v>778</v>
      </c>
    </row>
    <row r="1893" spans="1:28" x14ac:dyDescent="0.25">
      <c r="H1893" t="s">
        <v>3849</v>
      </c>
    </row>
    <row r="1894" spans="1:28" x14ac:dyDescent="0.25">
      <c r="A1894">
        <v>944</v>
      </c>
      <c r="B1894">
        <v>2494</v>
      </c>
      <c r="C1894" t="s">
        <v>3850</v>
      </c>
      <c r="D1894" t="s">
        <v>138</v>
      </c>
      <c r="E1894" t="s">
        <v>3851</v>
      </c>
      <c r="F1894" t="s">
        <v>3852</v>
      </c>
      <c r="G1894" t="str">
        <f>"201406013289"</f>
        <v>201406013289</v>
      </c>
      <c r="H1894" t="s">
        <v>3853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70</v>
      </c>
      <c r="O1894">
        <v>0</v>
      </c>
      <c r="P1894">
        <v>30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X1894">
        <v>0</v>
      </c>
      <c r="Y1894">
        <v>0</v>
      </c>
      <c r="Z1894">
        <v>0</v>
      </c>
      <c r="AA1894">
        <v>0</v>
      </c>
      <c r="AB1894" t="s">
        <v>3854</v>
      </c>
    </row>
    <row r="1895" spans="1:28" x14ac:dyDescent="0.25">
      <c r="H1895" t="s">
        <v>3855</v>
      </c>
    </row>
    <row r="1896" spans="1:28" x14ac:dyDescent="0.25">
      <c r="A1896">
        <v>945</v>
      </c>
      <c r="B1896">
        <v>725</v>
      </c>
      <c r="C1896" t="s">
        <v>3856</v>
      </c>
      <c r="D1896" t="s">
        <v>488</v>
      </c>
      <c r="E1896" t="s">
        <v>155</v>
      </c>
      <c r="F1896" t="s">
        <v>3857</v>
      </c>
      <c r="G1896" t="str">
        <f>"00227084"</f>
        <v>00227084</v>
      </c>
      <c r="H1896" t="s">
        <v>3120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50</v>
      </c>
      <c r="O1896">
        <v>0</v>
      </c>
      <c r="P1896">
        <v>30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X1896">
        <v>0</v>
      </c>
      <c r="Y1896">
        <v>0</v>
      </c>
      <c r="Z1896">
        <v>0</v>
      </c>
      <c r="AA1896">
        <v>0</v>
      </c>
      <c r="AB1896" t="s">
        <v>3858</v>
      </c>
    </row>
    <row r="1897" spans="1:28" x14ac:dyDescent="0.25">
      <c r="H1897" t="s">
        <v>3859</v>
      </c>
    </row>
    <row r="1898" spans="1:28" x14ac:dyDescent="0.25">
      <c r="A1898">
        <v>946</v>
      </c>
      <c r="B1898">
        <v>4742</v>
      </c>
      <c r="C1898" t="s">
        <v>3860</v>
      </c>
      <c r="D1898" t="s">
        <v>26</v>
      </c>
      <c r="E1898" t="s">
        <v>44</v>
      </c>
      <c r="F1898" t="s">
        <v>3861</v>
      </c>
      <c r="G1898" t="str">
        <f>"201511019238"</f>
        <v>201511019238</v>
      </c>
      <c r="H1898" t="s">
        <v>1592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50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X1898">
        <v>1</v>
      </c>
      <c r="Y1898">
        <v>0</v>
      </c>
      <c r="Z1898">
        <v>0</v>
      </c>
      <c r="AA1898">
        <v>0</v>
      </c>
      <c r="AB1898" t="s">
        <v>3862</v>
      </c>
    </row>
    <row r="1899" spans="1:28" x14ac:dyDescent="0.25">
      <c r="H1899" t="s">
        <v>3863</v>
      </c>
    </row>
    <row r="1900" spans="1:28" x14ac:dyDescent="0.25">
      <c r="A1900">
        <v>947</v>
      </c>
      <c r="B1900">
        <v>4352</v>
      </c>
      <c r="C1900" t="s">
        <v>3864</v>
      </c>
      <c r="D1900" t="s">
        <v>372</v>
      </c>
      <c r="E1900" t="s">
        <v>260</v>
      </c>
      <c r="F1900" t="s">
        <v>3865</v>
      </c>
      <c r="G1900" t="str">
        <f>"00208462"</f>
        <v>00208462</v>
      </c>
      <c r="H1900" t="s">
        <v>1965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X1900">
        <v>0</v>
      </c>
      <c r="Y1900">
        <v>0</v>
      </c>
      <c r="Z1900">
        <v>0</v>
      </c>
      <c r="AA1900">
        <v>0</v>
      </c>
      <c r="AB1900" t="s">
        <v>3866</v>
      </c>
    </row>
    <row r="1901" spans="1:28" x14ac:dyDescent="0.25">
      <c r="H1901" t="s">
        <v>3867</v>
      </c>
    </row>
    <row r="1902" spans="1:28" x14ac:dyDescent="0.25">
      <c r="A1902">
        <v>948</v>
      </c>
      <c r="B1902">
        <v>616</v>
      </c>
      <c r="C1902" t="s">
        <v>3868</v>
      </c>
      <c r="D1902" t="s">
        <v>3869</v>
      </c>
      <c r="E1902" t="s">
        <v>80</v>
      </c>
      <c r="F1902" t="s">
        <v>3870</v>
      </c>
      <c r="G1902" t="str">
        <f>"00115229"</f>
        <v>00115229</v>
      </c>
      <c r="H1902" t="s">
        <v>2733</v>
      </c>
      <c r="I1902">
        <v>0</v>
      </c>
      <c r="J1902">
        <v>0</v>
      </c>
      <c r="K1902">
        <v>0</v>
      </c>
      <c r="L1902">
        <v>0</v>
      </c>
      <c r="M1902">
        <v>100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X1902">
        <v>0</v>
      </c>
      <c r="Y1902">
        <v>0</v>
      </c>
      <c r="Z1902">
        <v>0</v>
      </c>
      <c r="AA1902">
        <v>0</v>
      </c>
      <c r="AB1902" t="s">
        <v>3871</v>
      </c>
    </row>
    <row r="1903" spans="1:28" x14ac:dyDescent="0.25">
      <c r="H1903" t="s">
        <v>3872</v>
      </c>
    </row>
    <row r="1904" spans="1:28" x14ac:dyDescent="0.25">
      <c r="A1904">
        <v>949</v>
      </c>
      <c r="B1904">
        <v>2116</v>
      </c>
      <c r="C1904" t="s">
        <v>3873</v>
      </c>
      <c r="D1904" t="s">
        <v>757</v>
      </c>
      <c r="E1904" t="s">
        <v>51</v>
      </c>
      <c r="F1904" t="s">
        <v>3874</v>
      </c>
      <c r="G1904" t="str">
        <f>"201406013842"</f>
        <v>201406013842</v>
      </c>
      <c r="H1904" t="s">
        <v>932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X1904">
        <v>0</v>
      </c>
      <c r="Y1904">
        <v>0</v>
      </c>
      <c r="Z1904">
        <v>0</v>
      </c>
      <c r="AA1904">
        <v>0</v>
      </c>
      <c r="AB1904" t="s">
        <v>3875</v>
      </c>
    </row>
    <row r="1905" spans="1:28" x14ac:dyDescent="0.25">
      <c r="H1905" t="s">
        <v>3876</v>
      </c>
    </row>
    <row r="1906" spans="1:28" x14ac:dyDescent="0.25">
      <c r="A1906">
        <v>950</v>
      </c>
      <c r="B1906">
        <v>1252</v>
      </c>
      <c r="C1906" t="s">
        <v>3877</v>
      </c>
      <c r="D1906" t="s">
        <v>26</v>
      </c>
      <c r="E1906" t="s">
        <v>44</v>
      </c>
      <c r="F1906" t="s">
        <v>3878</v>
      </c>
      <c r="G1906" t="str">
        <f>"201406009996"</f>
        <v>201406009996</v>
      </c>
      <c r="H1906" t="s">
        <v>389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30</v>
      </c>
      <c r="O1906">
        <v>0</v>
      </c>
      <c r="P1906">
        <v>0</v>
      </c>
      <c r="Q1906">
        <v>70</v>
      </c>
      <c r="R1906">
        <v>0</v>
      </c>
      <c r="S1906">
        <v>0</v>
      </c>
      <c r="T1906">
        <v>0</v>
      </c>
      <c r="U1906">
        <v>0</v>
      </c>
      <c r="V1906">
        <v>0</v>
      </c>
      <c r="X1906">
        <v>0</v>
      </c>
      <c r="Y1906">
        <v>0</v>
      </c>
      <c r="Z1906">
        <v>0</v>
      </c>
      <c r="AA1906">
        <v>0</v>
      </c>
      <c r="AB1906" t="s">
        <v>3879</v>
      </c>
    </row>
    <row r="1907" spans="1:28" x14ac:dyDescent="0.25">
      <c r="H1907" t="s">
        <v>3880</v>
      </c>
    </row>
    <row r="1908" spans="1:28" x14ac:dyDescent="0.25">
      <c r="A1908">
        <v>951</v>
      </c>
      <c r="B1908">
        <v>4264</v>
      </c>
      <c r="C1908" t="s">
        <v>25</v>
      </c>
      <c r="D1908" t="s">
        <v>187</v>
      </c>
      <c r="E1908" t="s">
        <v>14</v>
      </c>
      <c r="F1908" t="s">
        <v>3881</v>
      </c>
      <c r="G1908" t="str">
        <f>"00241101"</f>
        <v>00241101</v>
      </c>
      <c r="H1908" t="s">
        <v>318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50</v>
      </c>
      <c r="O1908">
        <v>0</v>
      </c>
      <c r="P1908">
        <v>0</v>
      </c>
      <c r="Q1908">
        <v>30</v>
      </c>
      <c r="R1908">
        <v>0</v>
      </c>
      <c r="S1908">
        <v>0</v>
      </c>
      <c r="T1908">
        <v>0</v>
      </c>
      <c r="U1908">
        <v>0</v>
      </c>
      <c r="V1908">
        <v>0</v>
      </c>
      <c r="X1908">
        <v>0</v>
      </c>
      <c r="Y1908">
        <v>0</v>
      </c>
      <c r="Z1908">
        <v>0</v>
      </c>
      <c r="AA1908">
        <v>0</v>
      </c>
      <c r="AB1908" t="s">
        <v>3882</v>
      </c>
    </row>
    <row r="1909" spans="1:28" x14ac:dyDescent="0.25">
      <c r="H1909">
        <v>1009</v>
      </c>
    </row>
    <row r="1910" spans="1:28" x14ac:dyDescent="0.25">
      <c r="A1910">
        <v>952</v>
      </c>
      <c r="B1910">
        <v>796</v>
      </c>
      <c r="C1910" t="s">
        <v>3883</v>
      </c>
      <c r="D1910" t="s">
        <v>187</v>
      </c>
      <c r="E1910" t="s">
        <v>2578</v>
      </c>
      <c r="F1910" t="s">
        <v>3884</v>
      </c>
      <c r="G1910" t="str">
        <f>"00249050"</f>
        <v>00249050</v>
      </c>
      <c r="H1910" t="s">
        <v>2056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70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X1910">
        <v>0</v>
      </c>
      <c r="Y1910">
        <v>0</v>
      </c>
      <c r="Z1910">
        <v>0</v>
      </c>
      <c r="AA1910">
        <v>0</v>
      </c>
      <c r="AB1910" t="s">
        <v>3885</v>
      </c>
    </row>
    <row r="1911" spans="1:28" x14ac:dyDescent="0.25">
      <c r="H1911" t="s">
        <v>1013</v>
      </c>
    </row>
    <row r="1912" spans="1:28" x14ac:dyDescent="0.25">
      <c r="A1912">
        <v>953</v>
      </c>
      <c r="B1912">
        <v>4615</v>
      </c>
      <c r="C1912" t="s">
        <v>3886</v>
      </c>
      <c r="D1912" t="s">
        <v>1845</v>
      </c>
      <c r="E1912" t="s">
        <v>14</v>
      </c>
      <c r="F1912" t="s">
        <v>3887</v>
      </c>
      <c r="G1912" t="str">
        <f>"201406014316"</f>
        <v>201406014316</v>
      </c>
      <c r="H1912" t="s">
        <v>1903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50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X1912">
        <v>0</v>
      </c>
      <c r="Y1912">
        <v>0</v>
      </c>
      <c r="Z1912">
        <v>0</v>
      </c>
      <c r="AA1912">
        <v>0</v>
      </c>
      <c r="AB1912" t="s">
        <v>3888</v>
      </c>
    </row>
    <row r="1913" spans="1:28" x14ac:dyDescent="0.25">
      <c r="H1913" t="s">
        <v>3889</v>
      </c>
    </row>
    <row r="1914" spans="1:28" x14ac:dyDescent="0.25">
      <c r="A1914">
        <v>954</v>
      </c>
      <c r="B1914">
        <v>3927</v>
      </c>
      <c r="C1914" t="s">
        <v>3890</v>
      </c>
      <c r="D1914" t="s">
        <v>3891</v>
      </c>
      <c r="E1914" t="s">
        <v>1180</v>
      </c>
      <c r="F1914" t="s">
        <v>3892</v>
      </c>
      <c r="G1914" t="str">
        <f>"00299046"</f>
        <v>00299046</v>
      </c>
      <c r="H1914" t="s">
        <v>696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X1914">
        <v>0</v>
      </c>
      <c r="Y1914">
        <v>0</v>
      </c>
      <c r="Z1914">
        <v>0</v>
      </c>
      <c r="AA1914">
        <v>0</v>
      </c>
      <c r="AB1914" t="s">
        <v>3893</v>
      </c>
    </row>
    <row r="1915" spans="1:28" x14ac:dyDescent="0.25">
      <c r="H1915" t="s">
        <v>3894</v>
      </c>
    </row>
    <row r="1916" spans="1:28" x14ac:dyDescent="0.25">
      <c r="A1916">
        <v>955</v>
      </c>
      <c r="B1916">
        <v>2638</v>
      </c>
      <c r="C1916" t="s">
        <v>3895</v>
      </c>
      <c r="D1916" t="s">
        <v>1017</v>
      </c>
      <c r="E1916" t="s">
        <v>322</v>
      </c>
      <c r="F1916" t="s">
        <v>3896</v>
      </c>
      <c r="G1916" t="str">
        <f>"201406016275"</f>
        <v>201406016275</v>
      </c>
      <c r="H1916" t="s">
        <v>2752</v>
      </c>
      <c r="I1916">
        <v>0</v>
      </c>
      <c r="J1916">
        <v>0</v>
      </c>
      <c r="K1916">
        <v>0</v>
      </c>
      <c r="L1916">
        <v>0</v>
      </c>
      <c r="M1916">
        <v>100</v>
      </c>
      <c r="N1916">
        <v>30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X1916">
        <v>0</v>
      </c>
      <c r="Y1916">
        <v>0</v>
      </c>
      <c r="Z1916">
        <v>0</v>
      </c>
      <c r="AA1916">
        <v>0</v>
      </c>
      <c r="AB1916" t="s">
        <v>3897</v>
      </c>
    </row>
    <row r="1917" spans="1:28" x14ac:dyDescent="0.25">
      <c r="H1917" t="s">
        <v>1960</v>
      </c>
    </row>
    <row r="1918" spans="1:28" x14ac:dyDescent="0.25">
      <c r="A1918">
        <v>956</v>
      </c>
      <c r="B1918">
        <v>4505</v>
      </c>
      <c r="C1918" t="s">
        <v>3898</v>
      </c>
      <c r="D1918" t="s">
        <v>20</v>
      </c>
      <c r="E1918" t="s">
        <v>38</v>
      </c>
      <c r="F1918" t="s">
        <v>3899</v>
      </c>
      <c r="G1918" t="str">
        <f>"00366790"</f>
        <v>00366790</v>
      </c>
      <c r="H1918" t="s">
        <v>1714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X1918">
        <v>1</v>
      </c>
      <c r="Y1918">
        <v>0</v>
      </c>
      <c r="Z1918">
        <v>0</v>
      </c>
      <c r="AA1918">
        <v>0</v>
      </c>
      <c r="AB1918" t="s">
        <v>3900</v>
      </c>
    </row>
    <row r="1919" spans="1:28" x14ac:dyDescent="0.25">
      <c r="H1919" t="s">
        <v>3901</v>
      </c>
    </row>
    <row r="1920" spans="1:28" x14ac:dyDescent="0.25">
      <c r="A1920">
        <v>957</v>
      </c>
      <c r="B1920">
        <v>4422</v>
      </c>
      <c r="C1920" t="s">
        <v>3902</v>
      </c>
      <c r="D1920" t="s">
        <v>1045</v>
      </c>
      <c r="E1920" t="s">
        <v>155</v>
      </c>
      <c r="F1920" t="s">
        <v>3903</v>
      </c>
      <c r="G1920" t="str">
        <f>"00110262"</f>
        <v>00110262</v>
      </c>
      <c r="H1920" t="s">
        <v>395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30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X1920">
        <v>0</v>
      </c>
      <c r="Y1920">
        <v>0</v>
      </c>
      <c r="Z1920">
        <v>0</v>
      </c>
      <c r="AA1920">
        <v>0</v>
      </c>
      <c r="AB1920" t="s">
        <v>3904</v>
      </c>
    </row>
    <row r="1921" spans="1:28" x14ac:dyDescent="0.25">
      <c r="H1921" t="s">
        <v>3905</v>
      </c>
    </row>
    <row r="1922" spans="1:28" x14ac:dyDescent="0.25">
      <c r="A1922">
        <v>958</v>
      </c>
      <c r="B1922">
        <v>2002</v>
      </c>
      <c r="C1922" t="s">
        <v>3906</v>
      </c>
      <c r="D1922" t="s">
        <v>328</v>
      </c>
      <c r="E1922" t="s">
        <v>14</v>
      </c>
      <c r="F1922" t="s">
        <v>3907</v>
      </c>
      <c r="G1922" t="str">
        <f>"200806000253"</f>
        <v>200806000253</v>
      </c>
      <c r="H1922" t="s">
        <v>395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30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X1922">
        <v>0</v>
      </c>
      <c r="Y1922">
        <v>0</v>
      </c>
      <c r="Z1922">
        <v>0</v>
      </c>
      <c r="AA1922">
        <v>0</v>
      </c>
      <c r="AB1922" t="s">
        <v>3904</v>
      </c>
    </row>
    <row r="1923" spans="1:28" x14ac:dyDescent="0.25">
      <c r="H1923" t="s">
        <v>3908</v>
      </c>
    </row>
    <row r="1924" spans="1:28" x14ac:dyDescent="0.25">
      <c r="A1924">
        <v>959</v>
      </c>
      <c r="B1924">
        <v>3861</v>
      </c>
      <c r="C1924" t="s">
        <v>3909</v>
      </c>
      <c r="D1924" t="s">
        <v>3910</v>
      </c>
      <c r="E1924" t="s">
        <v>80</v>
      </c>
      <c r="F1924" t="s">
        <v>3911</v>
      </c>
      <c r="G1924" t="str">
        <f>"00168721"</f>
        <v>00168721</v>
      </c>
      <c r="H1924" t="s">
        <v>2342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70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X1924">
        <v>0</v>
      </c>
      <c r="Y1924">
        <v>0</v>
      </c>
      <c r="Z1924">
        <v>0</v>
      </c>
      <c r="AA1924">
        <v>0</v>
      </c>
      <c r="AB1924" t="s">
        <v>3912</v>
      </c>
    </row>
    <row r="1925" spans="1:28" x14ac:dyDescent="0.25">
      <c r="H1925" t="s">
        <v>3913</v>
      </c>
    </row>
    <row r="1926" spans="1:28" x14ac:dyDescent="0.25">
      <c r="A1926">
        <v>960</v>
      </c>
      <c r="B1926">
        <v>3633</v>
      </c>
      <c r="C1926" t="s">
        <v>3914</v>
      </c>
      <c r="D1926" t="s">
        <v>1684</v>
      </c>
      <c r="E1926" t="s">
        <v>51</v>
      </c>
      <c r="F1926" t="s">
        <v>3915</v>
      </c>
      <c r="G1926" t="str">
        <f>"00368312"</f>
        <v>00368312</v>
      </c>
      <c r="H1926" t="s">
        <v>2001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30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X1926">
        <v>0</v>
      </c>
      <c r="Y1926">
        <v>0</v>
      </c>
      <c r="Z1926">
        <v>0</v>
      </c>
      <c r="AA1926">
        <v>0</v>
      </c>
      <c r="AB1926" t="s">
        <v>3916</v>
      </c>
    </row>
    <row r="1927" spans="1:28" x14ac:dyDescent="0.25">
      <c r="H1927" t="s">
        <v>2449</v>
      </c>
    </row>
    <row r="1928" spans="1:28" x14ac:dyDescent="0.25">
      <c r="A1928">
        <v>961</v>
      </c>
      <c r="B1928">
        <v>3723</v>
      </c>
      <c r="C1928" t="s">
        <v>3917</v>
      </c>
      <c r="D1928" t="s">
        <v>138</v>
      </c>
      <c r="E1928" t="s">
        <v>3918</v>
      </c>
      <c r="F1928" t="s">
        <v>3919</v>
      </c>
      <c r="G1928" t="str">
        <f>"00145972"</f>
        <v>00145972</v>
      </c>
      <c r="H1928" t="s">
        <v>2001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X1928">
        <v>0</v>
      </c>
      <c r="Y1928">
        <v>0</v>
      </c>
      <c r="Z1928">
        <v>0</v>
      </c>
      <c r="AA1928">
        <v>0</v>
      </c>
      <c r="AB1928" t="s">
        <v>3916</v>
      </c>
    </row>
    <row r="1929" spans="1:28" x14ac:dyDescent="0.25">
      <c r="H1929" t="s">
        <v>3920</v>
      </c>
    </row>
    <row r="1930" spans="1:28" x14ac:dyDescent="0.25">
      <c r="A1930">
        <v>962</v>
      </c>
      <c r="B1930">
        <v>4085</v>
      </c>
      <c r="C1930" t="s">
        <v>3921</v>
      </c>
      <c r="D1930" t="s">
        <v>155</v>
      </c>
      <c r="E1930" t="s">
        <v>2102</v>
      </c>
      <c r="F1930" t="s">
        <v>3922</v>
      </c>
      <c r="G1930" t="str">
        <f>"00341460"</f>
        <v>00341460</v>
      </c>
      <c r="H1930" t="s">
        <v>289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50</v>
      </c>
      <c r="O1930">
        <v>30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X1930">
        <v>0</v>
      </c>
      <c r="Y1930">
        <v>0</v>
      </c>
      <c r="Z1930">
        <v>0</v>
      </c>
      <c r="AA1930">
        <v>0</v>
      </c>
      <c r="AB1930" t="s">
        <v>3923</v>
      </c>
    </row>
    <row r="1931" spans="1:28" x14ac:dyDescent="0.25">
      <c r="H1931" t="s">
        <v>739</v>
      </c>
    </row>
    <row r="1932" spans="1:28" x14ac:dyDescent="0.25">
      <c r="A1932">
        <v>963</v>
      </c>
      <c r="B1932">
        <v>4430</v>
      </c>
      <c r="C1932" t="s">
        <v>3924</v>
      </c>
      <c r="D1932" t="s">
        <v>265</v>
      </c>
      <c r="E1932" t="s">
        <v>155</v>
      </c>
      <c r="F1932" t="s">
        <v>3925</v>
      </c>
      <c r="G1932" t="str">
        <f>"200712000917"</f>
        <v>200712000917</v>
      </c>
      <c r="H1932" t="s">
        <v>490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30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X1932">
        <v>0</v>
      </c>
      <c r="Y1932">
        <v>0</v>
      </c>
      <c r="Z1932">
        <v>0</v>
      </c>
      <c r="AA1932">
        <v>0</v>
      </c>
      <c r="AB1932" t="s">
        <v>3926</v>
      </c>
    </row>
    <row r="1933" spans="1:28" x14ac:dyDescent="0.25">
      <c r="H1933" t="s">
        <v>3927</v>
      </c>
    </row>
    <row r="1934" spans="1:28" x14ac:dyDescent="0.25">
      <c r="A1934">
        <v>964</v>
      </c>
      <c r="B1934">
        <v>2979</v>
      </c>
      <c r="C1934" t="s">
        <v>433</v>
      </c>
      <c r="D1934" t="s">
        <v>3928</v>
      </c>
      <c r="E1934" t="s">
        <v>3929</v>
      </c>
      <c r="F1934" t="s">
        <v>3930</v>
      </c>
      <c r="G1934" t="str">
        <f>"201304000092"</f>
        <v>201304000092</v>
      </c>
      <c r="H1934" t="s">
        <v>490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30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X1934">
        <v>0</v>
      </c>
      <c r="Y1934">
        <v>0</v>
      </c>
      <c r="Z1934">
        <v>0</v>
      </c>
      <c r="AA1934">
        <v>0</v>
      </c>
      <c r="AB1934" t="s">
        <v>3926</v>
      </c>
    </row>
    <row r="1935" spans="1:28" x14ac:dyDescent="0.25">
      <c r="H1935" t="s">
        <v>3206</v>
      </c>
    </row>
    <row r="1936" spans="1:28" x14ac:dyDescent="0.25">
      <c r="A1936">
        <v>965</v>
      </c>
      <c r="B1936">
        <v>1273</v>
      </c>
      <c r="C1936" t="s">
        <v>3931</v>
      </c>
      <c r="D1936" t="s">
        <v>265</v>
      </c>
      <c r="E1936" t="s">
        <v>109</v>
      </c>
      <c r="F1936" t="s">
        <v>3932</v>
      </c>
      <c r="G1936" t="str">
        <f>"00305361"</f>
        <v>00305361</v>
      </c>
      <c r="H1936" t="s">
        <v>2849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70</v>
      </c>
      <c r="O1936">
        <v>30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X1936">
        <v>0</v>
      </c>
      <c r="Y1936">
        <v>0</v>
      </c>
      <c r="Z1936">
        <v>0</v>
      </c>
      <c r="AA1936">
        <v>0</v>
      </c>
      <c r="AB1936" t="s">
        <v>3933</v>
      </c>
    </row>
    <row r="1937" spans="1:28" x14ac:dyDescent="0.25">
      <c r="H1937" t="s">
        <v>3294</v>
      </c>
    </row>
    <row r="1938" spans="1:28" x14ac:dyDescent="0.25">
      <c r="A1938">
        <v>966</v>
      </c>
      <c r="B1938">
        <v>996</v>
      </c>
      <c r="C1938" t="s">
        <v>3934</v>
      </c>
      <c r="D1938" t="s">
        <v>19</v>
      </c>
      <c r="E1938" t="s">
        <v>38</v>
      </c>
      <c r="F1938" t="s">
        <v>3935</v>
      </c>
      <c r="G1938" t="str">
        <f>"00203449"</f>
        <v>00203449</v>
      </c>
      <c r="H1938" t="s">
        <v>2857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70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X1938">
        <v>0</v>
      </c>
      <c r="Y1938">
        <v>0</v>
      </c>
      <c r="Z1938">
        <v>0</v>
      </c>
      <c r="AA1938">
        <v>0</v>
      </c>
      <c r="AB1938" t="s">
        <v>3936</v>
      </c>
    </row>
    <row r="1939" spans="1:28" x14ac:dyDescent="0.25">
      <c r="H1939" t="s">
        <v>3937</v>
      </c>
    </row>
    <row r="1940" spans="1:28" x14ac:dyDescent="0.25">
      <c r="A1940">
        <v>967</v>
      </c>
      <c r="B1940">
        <v>3840</v>
      </c>
      <c r="C1940" t="s">
        <v>3938</v>
      </c>
      <c r="D1940" t="s">
        <v>1760</v>
      </c>
      <c r="E1940" t="s">
        <v>14</v>
      </c>
      <c r="F1940" t="s">
        <v>3939</v>
      </c>
      <c r="G1940" t="str">
        <f>"00359994"</f>
        <v>00359994</v>
      </c>
      <c r="H1940" t="s">
        <v>2857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70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X1940">
        <v>1</v>
      </c>
      <c r="Y1940">
        <v>0</v>
      </c>
      <c r="Z1940">
        <v>0</v>
      </c>
      <c r="AA1940">
        <v>0</v>
      </c>
      <c r="AB1940" t="s">
        <v>3936</v>
      </c>
    </row>
    <row r="1941" spans="1:28" x14ac:dyDescent="0.25">
      <c r="H1941" t="s">
        <v>3940</v>
      </c>
    </row>
    <row r="1942" spans="1:28" x14ac:dyDescent="0.25">
      <c r="A1942">
        <v>968</v>
      </c>
      <c r="B1942">
        <v>3719</v>
      </c>
      <c r="C1942" t="s">
        <v>3941</v>
      </c>
      <c r="D1942" t="s">
        <v>417</v>
      </c>
      <c r="E1942" t="s">
        <v>51</v>
      </c>
      <c r="F1942" t="s">
        <v>3942</v>
      </c>
      <c r="G1942" t="str">
        <f>"00209539"</f>
        <v>00209539</v>
      </c>
      <c r="H1942" t="s">
        <v>2857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70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X1942">
        <v>1</v>
      </c>
      <c r="Y1942">
        <v>0</v>
      </c>
      <c r="Z1942">
        <v>0</v>
      </c>
      <c r="AA1942">
        <v>0</v>
      </c>
      <c r="AB1942" t="s">
        <v>3936</v>
      </c>
    </row>
    <row r="1943" spans="1:28" x14ac:dyDescent="0.25">
      <c r="H1943" t="s">
        <v>3943</v>
      </c>
    </row>
    <row r="1944" spans="1:28" x14ac:dyDescent="0.25">
      <c r="A1944">
        <v>969</v>
      </c>
      <c r="B1944">
        <v>5180</v>
      </c>
      <c r="C1944" t="s">
        <v>3944</v>
      </c>
      <c r="D1944" t="s">
        <v>339</v>
      </c>
      <c r="E1944" t="s">
        <v>2235</v>
      </c>
      <c r="F1944" t="s">
        <v>3945</v>
      </c>
      <c r="G1944" t="str">
        <f>"00208761"</f>
        <v>00208761</v>
      </c>
      <c r="H1944" t="s">
        <v>2945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50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X1944">
        <v>0</v>
      </c>
      <c r="Y1944">
        <v>0</v>
      </c>
      <c r="Z1944">
        <v>0</v>
      </c>
      <c r="AA1944">
        <v>0</v>
      </c>
      <c r="AB1944" t="s">
        <v>3946</v>
      </c>
    </row>
    <row r="1945" spans="1:28" x14ac:dyDescent="0.25">
      <c r="H1945" t="s">
        <v>152</v>
      </c>
    </row>
    <row r="1946" spans="1:28" x14ac:dyDescent="0.25">
      <c r="A1946">
        <v>970</v>
      </c>
      <c r="B1946">
        <v>2926</v>
      </c>
      <c r="C1946" t="s">
        <v>3947</v>
      </c>
      <c r="D1946" t="s">
        <v>3948</v>
      </c>
      <c r="E1946" t="s">
        <v>869</v>
      </c>
      <c r="F1946" t="s">
        <v>3949</v>
      </c>
      <c r="G1946" t="str">
        <f>"201504003951"</f>
        <v>201504003951</v>
      </c>
      <c r="H1946" t="s">
        <v>2032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X1946">
        <v>0</v>
      </c>
      <c r="Y1946">
        <v>0</v>
      </c>
      <c r="Z1946">
        <v>0</v>
      </c>
      <c r="AA1946">
        <v>0</v>
      </c>
      <c r="AB1946" t="s">
        <v>3950</v>
      </c>
    </row>
    <row r="1947" spans="1:28" x14ac:dyDescent="0.25">
      <c r="H1947" t="s">
        <v>3951</v>
      </c>
    </row>
    <row r="1948" spans="1:28" x14ac:dyDescent="0.25">
      <c r="A1948">
        <v>971</v>
      </c>
      <c r="B1948">
        <v>4410</v>
      </c>
      <c r="C1948" t="s">
        <v>3952</v>
      </c>
      <c r="D1948" t="s">
        <v>26</v>
      </c>
      <c r="E1948" t="s">
        <v>38</v>
      </c>
      <c r="F1948" t="s">
        <v>3953</v>
      </c>
      <c r="G1948" t="str">
        <f>"201506000025"</f>
        <v>201506000025</v>
      </c>
      <c r="H1948" t="s">
        <v>2032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30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X1948">
        <v>0</v>
      </c>
      <c r="Y1948">
        <v>0</v>
      </c>
      <c r="Z1948">
        <v>0</v>
      </c>
      <c r="AA1948">
        <v>0</v>
      </c>
      <c r="AB1948" t="s">
        <v>3950</v>
      </c>
    </row>
    <row r="1949" spans="1:28" x14ac:dyDescent="0.25">
      <c r="H1949" t="s">
        <v>3954</v>
      </c>
    </row>
    <row r="1950" spans="1:28" x14ac:dyDescent="0.25">
      <c r="A1950">
        <v>972</v>
      </c>
      <c r="B1950">
        <v>4531</v>
      </c>
      <c r="C1950" t="s">
        <v>689</v>
      </c>
      <c r="D1950" t="s">
        <v>1309</v>
      </c>
      <c r="E1950" t="s">
        <v>311</v>
      </c>
      <c r="F1950" t="s">
        <v>3955</v>
      </c>
      <c r="G1950" t="str">
        <f>"00161457"</f>
        <v>00161457</v>
      </c>
      <c r="H1950" t="s">
        <v>2032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X1950">
        <v>0</v>
      </c>
      <c r="Y1950">
        <v>0</v>
      </c>
      <c r="Z1950">
        <v>0</v>
      </c>
      <c r="AA1950">
        <v>0</v>
      </c>
      <c r="AB1950" t="s">
        <v>3950</v>
      </c>
    </row>
    <row r="1951" spans="1:28" x14ac:dyDescent="0.25">
      <c r="H1951" t="s">
        <v>2219</v>
      </c>
    </row>
    <row r="1952" spans="1:28" x14ac:dyDescent="0.25">
      <c r="A1952">
        <v>973</v>
      </c>
      <c r="B1952">
        <v>2432</v>
      </c>
      <c r="C1952" t="s">
        <v>2923</v>
      </c>
      <c r="D1952" t="s">
        <v>339</v>
      </c>
      <c r="E1952" t="s">
        <v>14</v>
      </c>
      <c r="F1952" t="s">
        <v>3956</v>
      </c>
      <c r="G1952" t="str">
        <f>"201410009729"</f>
        <v>201410009729</v>
      </c>
      <c r="H1952" t="s">
        <v>1123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30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X1952">
        <v>0</v>
      </c>
      <c r="Y1952">
        <v>0</v>
      </c>
      <c r="Z1952">
        <v>0</v>
      </c>
      <c r="AA1952">
        <v>0</v>
      </c>
      <c r="AB1952" t="s">
        <v>3957</v>
      </c>
    </row>
    <row r="1953" spans="1:28" x14ac:dyDescent="0.25">
      <c r="H1953" t="s">
        <v>3958</v>
      </c>
    </row>
    <row r="1954" spans="1:28" x14ac:dyDescent="0.25">
      <c r="A1954">
        <v>974</v>
      </c>
      <c r="B1954">
        <v>4347</v>
      </c>
      <c r="C1954" t="s">
        <v>3959</v>
      </c>
      <c r="D1954" t="s">
        <v>15</v>
      </c>
      <c r="E1954" t="s">
        <v>50</v>
      </c>
      <c r="F1954" t="s">
        <v>3960</v>
      </c>
      <c r="G1954" t="str">
        <f>"201511016041"</f>
        <v>201511016041</v>
      </c>
      <c r="H1954" t="s">
        <v>972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50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X1954">
        <v>0</v>
      </c>
      <c r="Y1954">
        <v>0</v>
      </c>
      <c r="Z1954">
        <v>0</v>
      </c>
      <c r="AA1954">
        <v>0</v>
      </c>
      <c r="AB1954" t="s">
        <v>3961</v>
      </c>
    </row>
    <row r="1955" spans="1:28" x14ac:dyDescent="0.25">
      <c r="H1955" t="s">
        <v>3962</v>
      </c>
    </row>
    <row r="1956" spans="1:28" x14ac:dyDescent="0.25">
      <c r="A1956">
        <v>975</v>
      </c>
      <c r="B1956">
        <v>2635</v>
      </c>
      <c r="C1956" t="s">
        <v>3804</v>
      </c>
      <c r="D1956" t="s">
        <v>480</v>
      </c>
      <c r="E1956" t="s">
        <v>1036</v>
      </c>
      <c r="F1956" t="s">
        <v>3963</v>
      </c>
      <c r="G1956" t="str">
        <f>"201410012780"</f>
        <v>201410012780</v>
      </c>
      <c r="H1956" t="s">
        <v>3964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50</v>
      </c>
      <c r="O1956">
        <v>0</v>
      </c>
      <c r="P1956">
        <v>70</v>
      </c>
      <c r="Q1956">
        <v>30</v>
      </c>
      <c r="R1956">
        <v>0</v>
      </c>
      <c r="S1956">
        <v>0</v>
      </c>
      <c r="T1956">
        <v>0</v>
      </c>
      <c r="U1956">
        <v>0</v>
      </c>
      <c r="V1956">
        <v>0</v>
      </c>
      <c r="X1956">
        <v>0</v>
      </c>
      <c r="Y1956">
        <v>0</v>
      </c>
      <c r="Z1956">
        <v>0</v>
      </c>
      <c r="AA1956">
        <v>0</v>
      </c>
      <c r="AB1956" t="s">
        <v>3965</v>
      </c>
    </row>
    <row r="1957" spans="1:28" x14ac:dyDescent="0.25">
      <c r="H1957" t="s">
        <v>739</v>
      </c>
    </row>
    <row r="1958" spans="1:28" x14ac:dyDescent="0.25">
      <c r="A1958">
        <v>976</v>
      </c>
      <c r="B1958">
        <v>1821</v>
      </c>
      <c r="C1958" t="s">
        <v>3966</v>
      </c>
      <c r="D1958" t="s">
        <v>109</v>
      </c>
      <c r="E1958" t="s">
        <v>3967</v>
      </c>
      <c r="F1958" t="s">
        <v>3968</v>
      </c>
      <c r="G1958" t="str">
        <f>"201506000018"</f>
        <v>201506000018</v>
      </c>
      <c r="H1958">
        <v>737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X1958">
        <v>0</v>
      </c>
      <c r="Y1958">
        <v>0</v>
      </c>
      <c r="Z1958">
        <v>0</v>
      </c>
      <c r="AA1958">
        <v>0</v>
      </c>
      <c r="AB1958">
        <v>767</v>
      </c>
    </row>
    <row r="1959" spans="1:28" x14ac:dyDescent="0.25">
      <c r="H1959" t="s">
        <v>3969</v>
      </c>
    </row>
    <row r="1960" spans="1:28" x14ac:dyDescent="0.25">
      <c r="A1960">
        <v>977</v>
      </c>
      <c r="B1960">
        <v>4059</v>
      </c>
      <c r="C1960" t="s">
        <v>3970</v>
      </c>
      <c r="D1960" t="s">
        <v>458</v>
      </c>
      <c r="E1960" t="s">
        <v>758</v>
      </c>
      <c r="F1960" t="s">
        <v>3971</v>
      </c>
      <c r="G1960" t="str">
        <f>"00314348"</f>
        <v>00314348</v>
      </c>
      <c r="H1960">
        <v>737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30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X1960">
        <v>0</v>
      </c>
      <c r="Y1960">
        <v>0</v>
      </c>
      <c r="Z1960">
        <v>0</v>
      </c>
      <c r="AA1960">
        <v>0</v>
      </c>
      <c r="AB1960">
        <v>767</v>
      </c>
    </row>
    <row r="1961" spans="1:28" x14ac:dyDescent="0.25">
      <c r="H1961">
        <v>1009</v>
      </c>
    </row>
    <row r="1962" spans="1:28" x14ac:dyDescent="0.25">
      <c r="A1962">
        <v>978</v>
      </c>
      <c r="B1962">
        <v>4318</v>
      </c>
      <c r="C1962" t="s">
        <v>3972</v>
      </c>
      <c r="D1962" t="s">
        <v>869</v>
      </c>
      <c r="E1962" t="s">
        <v>14</v>
      </c>
      <c r="F1962" t="s">
        <v>3973</v>
      </c>
      <c r="G1962" t="str">
        <f>"00208009"</f>
        <v>00208009</v>
      </c>
      <c r="H1962">
        <v>737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X1962">
        <v>0</v>
      </c>
      <c r="Y1962">
        <v>0</v>
      </c>
      <c r="Z1962">
        <v>0</v>
      </c>
      <c r="AA1962">
        <v>0</v>
      </c>
      <c r="AB1962">
        <v>767</v>
      </c>
    </row>
    <row r="1963" spans="1:28" x14ac:dyDescent="0.25">
      <c r="H1963" t="s">
        <v>3974</v>
      </c>
    </row>
    <row r="1964" spans="1:28" x14ac:dyDescent="0.25">
      <c r="A1964">
        <v>979</v>
      </c>
      <c r="B1964">
        <v>1940</v>
      </c>
      <c r="C1964" t="s">
        <v>3975</v>
      </c>
      <c r="D1964" t="s">
        <v>19</v>
      </c>
      <c r="E1964" t="s">
        <v>20</v>
      </c>
      <c r="F1964" t="s">
        <v>3976</v>
      </c>
      <c r="G1964" t="str">
        <f>"00305929"</f>
        <v>00305929</v>
      </c>
      <c r="H1964" t="s">
        <v>865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70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X1964">
        <v>0</v>
      </c>
      <c r="Y1964">
        <v>0</v>
      </c>
      <c r="Z1964">
        <v>0</v>
      </c>
      <c r="AA1964">
        <v>0</v>
      </c>
      <c r="AB1964" t="s">
        <v>3977</v>
      </c>
    </row>
    <row r="1965" spans="1:28" x14ac:dyDescent="0.25">
      <c r="H1965" t="s">
        <v>3978</v>
      </c>
    </row>
    <row r="1966" spans="1:28" x14ac:dyDescent="0.25">
      <c r="A1966">
        <v>980</v>
      </c>
      <c r="B1966">
        <v>86</v>
      </c>
      <c r="C1966" t="s">
        <v>3979</v>
      </c>
      <c r="D1966" t="s">
        <v>1309</v>
      </c>
      <c r="E1966" t="s">
        <v>50</v>
      </c>
      <c r="F1966" t="s">
        <v>3980</v>
      </c>
      <c r="G1966" t="str">
        <f>"201406007929"</f>
        <v>201406007929</v>
      </c>
      <c r="H1966" t="s">
        <v>3282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50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X1966">
        <v>0</v>
      </c>
      <c r="Y1966">
        <v>0</v>
      </c>
      <c r="Z1966">
        <v>0</v>
      </c>
      <c r="AA1966">
        <v>0</v>
      </c>
      <c r="AB1966" t="s">
        <v>3981</v>
      </c>
    </row>
    <row r="1967" spans="1:28" x14ac:dyDescent="0.25">
      <c r="H1967" t="s">
        <v>739</v>
      </c>
    </row>
    <row r="1968" spans="1:28" x14ac:dyDescent="0.25">
      <c r="A1968">
        <v>981</v>
      </c>
      <c r="B1968">
        <v>2258</v>
      </c>
      <c r="C1968" t="s">
        <v>3982</v>
      </c>
      <c r="D1968" t="s">
        <v>265</v>
      </c>
      <c r="E1968" t="s">
        <v>80</v>
      </c>
      <c r="F1968" t="s">
        <v>3983</v>
      </c>
      <c r="G1968" t="str">
        <f>"00241564"</f>
        <v>00241564</v>
      </c>
      <c r="H1968" t="s">
        <v>294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70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X1968">
        <v>0</v>
      </c>
      <c r="Y1968">
        <v>0</v>
      </c>
      <c r="Z1968">
        <v>0</v>
      </c>
      <c r="AA1968">
        <v>0</v>
      </c>
      <c r="AB1968" t="s">
        <v>3984</v>
      </c>
    </row>
    <row r="1969" spans="1:28" x14ac:dyDescent="0.25">
      <c r="H1969" t="s">
        <v>3985</v>
      </c>
    </row>
    <row r="1970" spans="1:28" x14ac:dyDescent="0.25">
      <c r="A1970">
        <v>982</v>
      </c>
      <c r="B1970">
        <v>2142</v>
      </c>
      <c r="C1970" t="s">
        <v>3986</v>
      </c>
      <c r="D1970" t="s">
        <v>80</v>
      </c>
      <c r="E1970" t="s">
        <v>758</v>
      </c>
      <c r="F1970" t="s">
        <v>3987</v>
      </c>
      <c r="G1970" t="str">
        <f>"201406002817"</f>
        <v>201406002817</v>
      </c>
      <c r="H1970" t="s">
        <v>318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70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X1970">
        <v>0</v>
      </c>
      <c r="Y1970">
        <v>0</v>
      </c>
      <c r="Z1970">
        <v>0</v>
      </c>
      <c r="AA1970">
        <v>0</v>
      </c>
      <c r="AB1970" t="s">
        <v>3988</v>
      </c>
    </row>
    <row r="1971" spans="1:28" x14ac:dyDescent="0.25">
      <c r="H1971" t="s">
        <v>3989</v>
      </c>
    </row>
    <row r="1972" spans="1:28" x14ac:dyDescent="0.25">
      <c r="A1972">
        <v>983</v>
      </c>
      <c r="B1972">
        <v>491</v>
      </c>
      <c r="C1972" t="s">
        <v>3990</v>
      </c>
      <c r="D1972" t="s">
        <v>14</v>
      </c>
      <c r="E1972" t="s">
        <v>51</v>
      </c>
      <c r="F1972" t="s">
        <v>3991</v>
      </c>
      <c r="G1972" t="str">
        <f>"201304001474"</f>
        <v>201304001474</v>
      </c>
      <c r="H1972" t="s">
        <v>413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30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X1972">
        <v>0</v>
      </c>
      <c r="Y1972">
        <v>0</v>
      </c>
      <c r="Z1972">
        <v>0</v>
      </c>
      <c r="AA1972">
        <v>0</v>
      </c>
      <c r="AB1972" t="s">
        <v>3992</v>
      </c>
    </row>
    <row r="1973" spans="1:28" x14ac:dyDescent="0.25">
      <c r="H1973" t="s">
        <v>3993</v>
      </c>
    </row>
    <row r="1974" spans="1:28" x14ac:dyDescent="0.25">
      <c r="A1974">
        <v>984</v>
      </c>
      <c r="B1974">
        <v>4441</v>
      </c>
      <c r="C1974" t="s">
        <v>3994</v>
      </c>
      <c r="D1974" t="s">
        <v>471</v>
      </c>
      <c r="E1974" t="s">
        <v>3995</v>
      </c>
      <c r="F1974" t="s">
        <v>3996</v>
      </c>
      <c r="G1974" t="str">
        <f>"00341137"</f>
        <v>00341137</v>
      </c>
      <c r="H1974" t="s">
        <v>413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30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X1974">
        <v>0</v>
      </c>
      <c r="Y1974">
        <v>0</v>
      </c>
      <c r="Z1974">
        <v>0</v>
      </c>
      <c r="AA1974">
        <v>0</v>
      </c>
      <c r="AB1974" t="s">
        <v>3992</v>
      </c>
    </row>
    <row r="1975" spans="1:28" x14ac:dyDescent="0.25">
      <c r="H1975">
        <v>1009</v>
      </c>
    </row>
    <row r="1976" spans="1:28" x14ac:dyDescent="0.25">
      <c r="A1976">
        <v>985</v>
      </c>
      <c r="B1976">
        <v>1393</v>
      </c>
      <c r="C1976" t="s">
        <v>3997</v>
      </c>
      <c r="D1976" t="s">
        <v>387</v>
      </c>
      <c r="E1976" t="s">
        <v>63</v>
      </c>
      <c r="F1976" t="s">
        <v>3998</v>
      </c>
      <c r="G1976" t="str">
        <f>"201506001685"</f>
        <v>201506001685</v>
      </c>
      <c r="H1976" t="s">
        <v>249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30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X1976">
        <v>1</v>
      </c>
      <c r="Y1976">
        <v>0</v>
      </c>
      <c r="Z1976">
        <v>0</v>
      </c>
      <c r="AA1976">
        <v>0</v>
      </c>
      <c r="AB1976" t="s">
        <v>3999</v>
      </c>
    </row>
    <row r="1977" spans="1:28" x14ac:dyDescent="0.25">
      <c r="H1977" t="s">
        <v>4000</v>
      </c>
    </row>
    <row r="1978" spans="1:28" x14ac:dyDescent="0.25">
      <c r="A1978">
        <v>986</v>
      </c>
      <c r="B1978">
        <v>1244</v>
      </c>
      <c r="C1978" t="s">
        <v>3883</v>
      </c>
      <c r="D1978" t="s">
        <v>26</v>
      </c>
      <c r="E1978" t="s">
        <v>495</v>
      </c>
      <c r="F1978" t="s">
        <v>4001</v>
      </c>
      <c r="G1978" t="str">
        <f>"201406001442"</f>
        <v>201406001442</v>
      </c>
      <c r="H1978">
        <v>693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70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X1978">
        <v>0</v>
      </c>
      <c r="Y1978">
        <v>0</v>
      </c>
      <c r="Z1978">
        <v>0</v>
      </c>
      <c r="AA1978">
        <v>0</v>
      </c>
      <c r="AB1978">
        <v>763</v>
      </c>
    </row>
    <row r="1979" spans="1:28" x14ac:dyDescent="0.25">
      <c r="H1979" t="s">
        <v>4002</v>
      </c>
    </row>
    <row r="1980" spans="1:28" x14ac:dyDescent="0.25">
      <c r="A1980">
        <v>987</v>
      </c>
      <c r="B1980">
        <v>2514</v>
      </c>
      <c r="C1980" t="s">
        <v>4003</v>
      </c>
      <c r="D1980" t="s">
        <v>1045</v>
      </c>
      <c r="E1980" t="s">
        <v>44</v>
      </c>
      <c r="F1980" t="s">
        <v>4004</v>
      </c>
      <c r="G1980" t="str">
        <f>"00358629"</f>
        <v>00358629</v>
      </c>
      <c r="H1980" t="s">
        <v>977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50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X1980">
        <v>0</v>
      </c>
      <c r="Y1980">
        <v>0</v>
      </c>
      <c r="Z1980">
        <v>0</v>
      </c>
      <c r="AA1980">
        <v>0</v>
      </c>
      <c r="AB1980" t="s">
        <v>4005</v>
      </c>
    </row>
    <row r="1981" spans="1:28" x14ac:dyDescent="0.25">
      <c r="H1981" t="s">
        <v>4006</v>
      </c>
    </row>
    <row r="1982" spans="1:28" x14ac:dyDescent="0.25">
      <c r="A1982">
        <v>988</v>
      </c>
      <c r="B1982">
        <v>2846</v>
      </c>
      <c r="C1982" t="s">
        <v>4007</v>
      </c>
      <c r="D1982" t="s">
        <v>1309</v>
      </c>
      <c r="E1982" t="s">
        <v>20</v>
      </c>
      <c r="F1982" t="s">
        <v>4008</v>
      </c>
      <c r="G1982" t="str">
        <f>"00244355"</f>
        <v>00244355</v>
      </c>
      <c r="H1982" t="s">
        <v>977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50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X1982">
        <v>0</v>
      </c>
      <c r="Y1982">
        <v>0</v>
      </c>
      <c r="Z1982">
        <v>0</v>
      </c>
      <c r="AA1982">
        <v>0</v>
      </c>
      <c r="AB1982" t="s">
        <v>4005</v>
      </c>
    </row>
    <row r="1983" spans="1:28" x14ac:dyDescent="0.25">
      <c r="H1983" t="s">
        <v>514</v>
      </c>
    </row>
    <row r="1984" spans="1:28" x14ac:dyDescent="0.25">
      <c r="A1984">
        <v>989</v>
      </c>
      <c r="B1984">
        <v>4367</v>
      </c>
      <c r="C1984" t="s">
        <v>4009</v>
      </c>
      <c r="D1984" t="s">
        <v>19</v>
      </c>
      <c r="E1984" t="s">
        <v>14</v>
      </c>
      <c r="F1984" t="s">
        <v>4010</v>
      </c>
      <c r="G1984" t="str">
        <f>"200802009779"</f>
        <v>200802009779</v>
      </c>
      <c r="H1984" t="s">
        <v>226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30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X1984">
        <v>0</v>
      </c>
      <c r="Y1984">
        <v>0</v>
      </c>
      <c r="Z1984">
        <v>0</v>
      </c>
      <c r="AA1984">
        <v>0</v>
      </c>
      <c r="AB1984" t="s">
        <v>4011</v>
      </c>
    </row>
    <row r="1985" spans="1:28" x14ac:dyDescent="0.25">
      <c r="H1985" t="s">
        <v>3237</v>
      </c>
    </row>
    <row r="1986" spans="1:28" x14ac:dyDescent="0.25">
      <c r="A1986">
        <v>990</v>
      </c>
      <c r="B1986">
        <v>2046</v>
      </c>
      <c r="C1986" t="s">
        <v>4012</v>
      </c>
      <c r="D1986" t="s">
        <v>277</v>
      </c>
      <c r="E1986" t="s">
        <v>322</v>
      </c>
      <c r="F1986" t="s">
        <v>4013</v>
      </c>
      <c r="G1986" t="str">
        <f>"00326940"</f>
        <v>00326940</v>
      </c>
      <c r="H1986" t="s">
        <v>2342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30</v>
      </c>
      <c r="O1986">
        <v>30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X1986">
        <v>0</v>
      </c>
      <c r="Y1986">
        <v>0</v>
      </c>
      <c r="Z1986">
        <v>0</v>
      </c>
      <c r="AA1986">
        <v>0</v>
      </c>
      <c r="AB1986" t="s">
        <v>4014</v>
      </c>
    </row>
    <row r="1987" spans="1:28" x14ac:dyDescent="0.25">
      <c r="H1987" t="s">
        <v>4015</v>
      </c>
    </row>
    <row r="1988" spans="1:28" x14ac:dyDescent="0.25">
      <c r="A1988">
        <v>991</v>
      </c>
      <c r="B1988">
        <v>5052</v>
      </c>
      <c r="C1988" t="s">
        <v>4016</v>
      </c>
      <c r="D1988" t="s">
        <v>265</v>
      </c>
      <c r="E1988" t="s">
        <v>393</v>
      </c>
      <c r="F1988" t="s">
        <v>4017</v>
      </c>
      <c r="G1988" t="str">
        <f>"00158136"</f>
        <v>00158136</v>
      </c>
      <c r="H1988" t="s">
        <v>1242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30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X1988">
        <v>0</v>
      </c>
      <c r="Y1988">
        <v>0</v>
      </c>
      <c r="Z1988">
        <v>0</v>
      </c>
      <c r="AA1988">
        <v>0</v>
      </c>
      <c r="AB1988" t="s">
        <v>4018</v>
      </c>
    </row>
    <row r="1989" spans="1:28" x14ac:dyDescent="0.25">
      <c r="H1989" t="s">
        <v>4019</v>
      </c>
    </row>
    <row r="1990" spans="1:28" x14ac:dyDescent="0.25">
      <c r="A1990">
        <v>992</v>
      </c>
      <c r="B1990">
        <v>502</v>
      </c>
      <c r="C1990" t="s">
        <v>4020</v>
      </c>
      <c r="D1990" t="s">
        <v>97</v>
      </c>
      <c r="E1990" t="s">
        <v>38</v>
      </c>
      <c r="F1990" t="s">
        <v>4021</v>
      </c>
      <c r="G1990" t="str">
        <f>"00220651"</f>
        <v>00220651</v>
      </c>
      <c r="H1990" t="s">
        <v>1412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30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X1990">
        <v>0</v>
      </c>
      <c r="Y1990">
        <v>0</v>
      </c>
      <c r="Z1990">
        <v>0</v>
      </c>
      <c r="AA1990">
        <v>0</v>
      </c>
      <c r="AB1990" t="s">
        <v>4022</v>
      </c>
    </row>
    <row r="1991" spans="1:28" x14ac:dyDescent="0.25">
      <c r="H1991" t="s">
        <v>4023</v>
      </c>
    </row>
    <row r="1992" spans="1:28" x14ac:dyDescent="0.25">
      <c r="A1992">
        <v>993</v>
      </c>
      <c r="B1992">
        <v>3993</v>
      </c>
      <c r="C1992" t="s">
        <v>4024</v>
      </c>
      <c r="D1992" t="s">
        <v>187</v>
      </c>
      <c r="E1992" t="s">
        <v>212</v>
      </c>
      <c r="F1992" t="s">
        <v>4025</v>
      </c>
      <c r="G1992" t="str">
        <f>"00217094"</f>
        <v>00217094</v>
      </c>
      <c r="H1992" t="s">
        <v>1412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30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X1992">
        <v>0</v>
      </c>
      <c r="Y1992">
        <v>0</v>
      </c>
      <c r="Z1992">
        <v>0</v>
      </c>
      <c r="AA1992">
        <v>0</v>
      </c>
      <c r="AB1992" t="s">
        <v>4022</v>
      </c>
    </row>
    <row r="1993" spans="1:28" x14ac:dyDescent="0.25">
      <c r="H1993" t="s">
        <v>4026</v>
      </c>
    </row>
    <row r="1994" spans="1:28" x14ac:dyDescent="0.25">
      <c r="A1994">
        <v>994</v>
      </c>
      <c r="B1994">
        <v>2420</v>
      </c>
      <c r="C1994" t="s">
        <v>4027</v>
      </c>
      <c r="D1994" t="s">
        <v>4028</v>
      </c>
      <c r="E1994" t="s">
        <v>51</v>
      </c>
      <c r="F1994" t="s">
        <v>4029</v>
      </c>
      <c r="G1994" t="str">
        <f>"00006490"</f>
        <v>00006490</v>
      </c>
      <c r="H1994" t="s">
        <v>1841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70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>
        <v>0</v>
      </c>
      <c r="X1994">
        <v>0</v>
      </c>
      <c r="Y1994">
        <v>0</v>
      </c>
      <c r="Z1994">
        <v>0</v>
      </c>
      <c r="AA1994">
        <v>0</v>
      </c>
      <c r="AB1994" t="s">
        <v>4030</v>
      </c>
    </row>
    <row r="1995" spans="1:28" x14ac:dyDescent="0.25">
      <c r="H1995" t="s">
        <v>4031</v>
      </c>
    </row>
    <row r="1996" spans="1:28" x14ac:dyDescent="0.25">
      <c r="A1996">
        <v>995</v>
      </c>
      <c r="B1996">
        <v>4258</v>
      </c>
      <c r="C1996" t="s">
        <v>4032</v>
      </c>
      <c r="D1996" t="s">
        <v>26</v>
      </c>
      <c r="E1996" t="s">
        <v>109</v>
      </c>
      <c r="F1996" t="s">
        <v>4033</v>
      </c>
      <c r="G1996" t="str">
        <f>"00126974"</f>
        <v>00126974</v>
      </c>
      <c r="H1996" t="s">
        <v>951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30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0</v>
      </c>
      <c r="X1996">
        <v>0</v>
      </c>
      <c r="Y1996">
        <v>0</v>
      </c>
      <c r="Z1996">
        <v>0</v>
      </c>
      <c r="AA1996">
        <v>0</v>
      </c>
      <c r="AB1996" t="s">
        <v>4034</v>
      </c>
    </row>
    <row r="1997" spans="1:28" x14ac:dyDescent="0.25">
      <c r="H1997" t="s">
        <v>4035</v>
      </c>
    </row>
    <row r="1998" spans="1:28" x14ac:dyDescent="0.25">
      <c r="A1998">
        <v>996</v>
      </c>
      <c r="B1998">
        <v>3816</v>
      </c>
      <c r="C1998" t="s">
        <v>4036</v>
      </c>
      <c r="D1998" t="s">
        <v>4037</v>
      </c>
      <c r="E1998" t="s">
        <v>51</v>
      </c>
      <c r="F1998" t="s">
        <v>4038</v>
      </c>
      <c r="G1998" t="str">
        <f>"201410010848"</f>
        <v>201410010848</v>
      </c>
      <c r="H1998" t="s">
        <v>2721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70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>
        <v>0</v>
      </c>
      <c r="X1998">
        <v>0</v>
      </c>
      <c r="Y1998">
        <v>0</v>
      </c>
      <c r="Z1998">
        <v>0</v>
      </c>
      <c r="AA1998">
        <v>0</v>
      </c>
      <c r="AB1998" t="s">
        <v>4039</v>
      </c>
    </row>
    <row r="1999" spans="1:28" x14ac:dyDescent="0.25">
      <c r="H1999" t="s">
        <v>4040</v>
      </c>
    </row>
    <row r="2000" spans="1:28" x14ac:dyDescent="0.25">
      <c r="A2000">
        <v>997</v>
      </c>
      <c r="B2000">
        <v>4244</v>
      </c>
      <c r="C2000" t="s">
        <v>2007</v>
      </c>
      <c r="D2000" t="s">
        <v>4041</v>
      </c>
      <c r="E2000" t="s">
        <v>51</v>
      </c>
      <c r="F2000" t="s">
        <v>4042</v>
      </c>
      <c r="G2000" t="str">
        <f>"00357886"</f>
        <v>00357886</v>
      </c>
      <c r="H2000" t="s">
        <v>2721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70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>
        <v>0</v>
      </c>
      <c r="X2000">
        <v>0</v>
      </c>
      <c r="Y2000">
        <v>0</v>
      </c>
      <c r="Z2000">
        <v>0</v>
      </c>
      <c r="AA2000">
        <v>0</v>
      </c>
      <c r="AB2000" t="s">
        <v>4039</v>
      </c>
    </row>
    <row r="2001" spans="1:28" x14ac:dyDescent="0.25">
      <c r="H2001" t="s">
        <v>432</v>
      </c>
    </row>
    <row r="2002" spans="1:28" x14ac:dyDescent="0.25">
      <c r="A2002">
        <v>998</v>
      </c>
      <c r="B2002">
        <v>4021</v>
      </c>
      <c r="C2002" t="s">
        <v>4043</v>
      </c>
      <c r="D2002" t="s">
        <v>187</v>
      </c>
      <c r="E2002" t="s">
        <v>20</v>
      </c>
      <c r="F2002" t="s">
        <v>4044</v>
      </c>
      <c r="G2002" t="str">
        <f>"201601001020"</f>
        <v>201601001020</v>
      </c>
      <c r="H2002" t="s">
        <v>1676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30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>
        <v>0</v>
      </c>
      <c r="X2002">
        <v>0</v>
      </c>
      <c r="Y2002">
        <v>0</v>
      </c>
      <c r="Z2002">
        <v>0</v>
      </c>
      <c r="AA2002">
        <v>0</v>
      </c>
      <c r="AB2002" t="s">
        <v>4045</v>
      </c>
    </row>
    <row r="2003" spans="1:28" x14ac:dyDescent="0.25">
      <c r="H2003" t="s">
        <v>4046</v>
      </c>
    </row>
    <row r="2004" spans="1:28" x14ac:dyDescent="0.25">
      <c r="A2004">
        <v>999</v>
      </c>
      <c r="B2004">
        <v>1210</v>
      </c>
      <c r="C2004" t="s">
        <v>4047</v>
      </c>
      <c r="D2004" t="s">
        <v>218</v>
      </c>
      <c r="E2004" t="s">
        <v>20</v>
      </c>
      <c r="F2004" t="s">
        <v>4048</v>
      </c>
      <c r="G2004" t="str">
        <f>"201406003590"</f>
        <v>201406003590</v>
      </c>
      <c r="H2004" t="s">
        <v>1592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30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>
        <v>0</v>
      </c>
      <c r="X2004">
        <v>0</v>
      </c>
      <c r="Y2004">
        <v>0</v>
      </c>
      <c r="Z2004">
        <v>0</v>
      </c>
      <c r="AA2004">
        <v>0</v>
      </c>
      <c r="AB2004" t="s">
        <v>4049</v>
      </c>
    </row>
    <row r="2005" spans="1:28" x14ac:dyDescent="0.25">
      <c r="H2005" t="s">
        <v>427</v>
      </c>
    </row>
    <row r="2006" spans="1:28" x14ac:dyDescent="0.25">
      <c r="A2006">
        <v>1000</v>
      </c>
      <c r="B2006">
        <v>4034</v>
      </c>
      <c r="C2006" t="s">
        <v>1297</v>
      </c>
      <c r="D2006" t="s">
        <v>4050</v>
      </c>
      <c r="E2006" t="s">
        <v>3561</v>
      </c>
      <c r="F2006" t="s">
        <v>4051</v>
      </c>
      <c r="G2006" t="str">
        <f>"201406003111"</f>
        <v>201406003111</v>
      </c>
      <c r="H2006" t="s">
        <v>573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70</v>
      </c>
      <c r="O2006">
        <v>50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>
        <v>0</v>
      </c>
      <c r="X2006">
        <v>0</v>
      </c>
      <c r="Y2006">
        <v>0</v>
      </c>
      <c r="Z2006">
        <v>0</v>
      </c>
      <c r="AA2006">
        <v>0</v>
      </c>
      <c r="AB2006" t="s">
        <v>4052</v>
      </c>
    </row>
    <row r="2007" spans="1:28" x14ac:dyDescent="0.25">
      <c r="H2007" t="s">
        <v>4053</v>
      </c>
    </row>
    <row r="2008" spans="1:28" x14ac:dyDescent="0.25">
      <c r="A2008">
        <v>1001</v>
      </c>
      <c r="B2008">
        <v>4256</v>
      </c>
      <c r="C2008" t="s">
        <v>4054</v>
      </c>
      <c r="D2008" t="s">
        <v>14</v>
      </c>
      <c r="E2008" t="s">
        <v>155</v>
      </c>
      <c r="F2008" t="s">
        <v>4055</v>
      </c>
      <c r="G2008" t="str">
        <f>"201409004519"</f>
        <v>201409004519</v>
      </c>
      <c r="H2008" t="s">
        <v>903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50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>
        <v>0</v>
      </c>
      <c r="X2008">
        <v>0</v>
      </c>
      <c r="Y2008">
        <v>0</v>
      </c>
      <c r="Z2008">
        <v>0</v>
      </c>
      <c r="AA2008">
        <v>0</v>
      </c>
      <c r="AB2008" t="s">
        <v>4056</v>
      </c>
    </row>
    <row r="2009" spans="1:28" x14ac:dyDescent="0.25">
      <c r="H2009" t="s">
        <v>1975</v>
      </c>
    </row>
    <row r="2010" spans="1:28" x14ac:dyDescent="0.25">
      <c r="A2010">
        <v>1002</v>
      </c>
      <c r="B2010">
        <v>2059</v>
      </c>
      <c r="C2010" t="s">
        <v>4057</v>
      </c>
      <c r="D2010" t="s">
        <v>76</v>
      </c>
      <c r="E2010" t="s">
        <v>51</v>
      </c>
      <c r="F2010" t="s">
        <v>4058</v>
      </c>
      <c r="G2010" t="str">
        <f>"00324521"</f>
        <v>00324521</v>
      </c>
      <c r="H2010">
        <v>726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>
        <v>0</v>
      </c>
      <c r="X2010">
        <v>0</v>
      </c>
      <c r="Y2010">
        <v>0</v>
      </c>
      <c r="Z2010">
        <v>0</v>
      </c>
      <c r="AA2010">
        <v>0</v>
      </c>
      <c r="AB2010">
        <v>756</v>
      </c>
    </row>
    <row r="2011" spans="1:28" x14ac:dyDescent="0.25">
      <c r="H2011" t="s">
        <v>4059</v>
      </c>
    </row>
    <row r="2012" spans="1:28" x14ac:dyDescent="0.25">
      <c r="A2012">
        <v>1003</v>
      </c>
      <c r="B2012">
        <v>1804</v>
      </c>
      <c r="C2012" t="s">
        <v>4060</v>
      </c>
      <c r="D2012" t="s">
        <v>2578</v>
      </c>
      <c r="E2012" t="s">
        <v>762</v>
      </c>
      <c r="F2012" t="s">
        <v>4061</v>
      </c>
      <c r="G2012" t="str">
        <f>"201504000255"</f>
        <v>201504000255</v>
      </c>
      <c r="H2012">
        <v>726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30</v>
      </c>
      <c r="O2012">
        <v>0</v>
      </c>
      <c r="P2012">
        <v>0</v>
      </c>
      <c r="Q2012">
        <v>0</v>
      </c>
      <c r="R2012">
        <v>0</v>
      </c>
      <c r="S2012">
        <v>0</v>
      </c>
      <c r="T2012">
        <v>0</v>
      </c>
      <c r="U2012">
        <v>0</v>
      </c>
      <c r="V2012">
        <v>0</v>
      </c>
      <c r="X2012">
        <v>0</v>
      </c>
      <c r="Y2012">
        <v>0</v>
      </c>
      <c r="Z2012">
        <v>0</v>
      </c>
      <c r="AA2012">
        <v>0</v>
      </c>
      <c r="AB2012">
        <v>756</v>
      </c>
    </row>
    <row r="2013" spans="1:28" x14ac:dyDescent="0.25">
      <c r="H2013" t="s">
        <v>4062</v>
      </c>
    </row>
    <row r="2014" spans="1:28" x14ac:dyDescent="0.25">
      <c r="A2014">
        <v>1004</v>
      </c>
      <c r="B2014">
        <v>666</v>
      </c>
      <c r="C2014" t="s">
        <v>4063</v>
      </c>
      <c r="D2014" t="s">
        <v>109</v>
      </c>
      <c r="E2014" t="s">
        <v>117</v>
      </c>
      <c r="F2014" t="s">
        <v>4064</v>
      </c>
      <c r="G2014" t="str">
        <f>"00095210"</f>
        <v>00095210</v>
      </c>
      <c r="H2014">
        <v>726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30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>
        <v>0</v>
      </c>
      <c r="X2014">
        <v>0</v>
      </c>
      <c r="Y2014">
        <v>0</v>
      </c>
      <c r="Z2014">
        <v>0</v>
      </c>
      <c r="AA2014">
        <v>0</v>
      </c>
      <c r="AB2014">
        <v>756</v>
      </c>
    </row>
    <row r="2015" spans="1:28" x14ac:dyDescent="0.25">
      <c r="H2015" t="s">
        <v>605</v>
      </c>
    </row>
    <row r="2016" spans="1:28" x14ac:dyDescent="0.25">
      <c r="A2016">
        <v>1005</v>
      </c>
      <c r="B2016">
        <v>184</v>
      </c>
      <c r="C2016" t="s">
        <v>4065</v>
      </c>
      <c r="D2016" t="s">
        <v>80</v>
      </c>
      <c r="E2016" t="s">
        <v>50</v>
      </c>
      <c r="F2016" t="s">
        <v>4066</v>
      </c>
      <c r="G2016" t="str">
        <f>"201502003960"</f>
        <v>201502003960</v>
      </c>
      <c r="H2016" t="s">
        <v>2463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70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>
        <v>0</v>
      </c>
      <c r="X2016">
        <v>0</v>
      </c>
      <c r="Y2016">
        <v>0</v>
      </c>
      <c r="Z2016">
        <v>0</v>
      </c>
      <c r="AA2016">
        <v>0</v>
      </c>
      <c r="AB2016" t="s">
        <v>4067</v>
      </c>
    </row>
    <row r="2017" spans="1:28" x14ac:dyDescent="0.25">
      <c r="H2017" t="s">
        <v>4068</v>
      </c>
    </row>
    <row r="2018" spans="1:28" x14ac:dyDescent="0.25">
      <c r="A2018">
        <v>1006</v>
      </c>
      <c r="B2018">
        <v>1495</v>
      </c>
      <c r="C2018" t="s">
        <v>4069</v>
      </c>
      <c r="D2018" t="s">
        <v>20</v>
      </c>
      <c r="E2018" t="s">
        <v>15</v>
      </c>
      <c r="F2018" t="s">
        <v>4070</v>
      </c>
      <c r="G2018" t="str">
        <f>"201406008934"</f>
        <v>201406008934</v>
      </c>
      <c r="H2018" t="s">
        <v>2774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30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>
        <v>0</v>
      </c>
      <c r="X2018">
        <v>0</v>
      </c>
      <c r="Y2018">
        <v>0</v>
      </c>
      <c r="Z2018">
        <v>5</v>
      </c>
      <c r="AA2018">
        <v>85</v>
      </c>
      <c r="AB2018" t="s">
        <v>4071</v>
      </c>
    </row>
    <row r="2019" spans="1:28" x14ac:dyDescent="0.25">
      <c r="H2019" t="s">
        <v>2219</v>
      </c>
    </row>
    <row r="2020" spans="1:28" x14ac:dyDescent="0.25">
      <c r="A2020">
        <v>1007</v>
      </c>
      <c r="B2020">
        <v>2151</v>
      </c>
      <c r="C2020" t="s">
        <v>3219</v>
      </c>
      <c r="D2020" t="s">
        <v>4072</v>
      </c>
      <c r="E2020" t="s">
        <v>20</v>
      </c>
      <c r="F2020" t="s">
        <v>4073</v>
      </c>
      <c r="G2020" t="str">
        <f>"00339661"</f>
        <v>00339661</v>
      </c>
      <c r="H2020" t="s">
        <v>1903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30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>
        <v>0</v>
      </c>
      <c r="X2020">
        <v>0</v>
      </c>
      <c r="Y2020">
        <v>0</v>
      </c>
      <c r="Z2020">
        <v>0</v>
      </c>
      <c r="AA2020">
        <v>0</v>
      </c>
      <c r="AB2020" t="s">
        <v>4074</v>
      </c>
    </row>
    <row r="2021" spans="1:28" x14ac:dyDescent="0.25">
      <c r="H2021" t="s">
        <v>2219</v>
      </c>
    </row>
    <row r="2022" spans="1:28" x14ac:dyDescent="0.25">
      <c r="A2022">
        <v>1008</v>
      </c>
      <c r="B2022">
        <v>3690</v>
      </c>
      <c r="C2022" t="s">
        <v>4075</v>
      </c>
      <c r="D2022" t="s">
        <v>84</v>
      </c>
      <c r="E2022" t="s">
        <v>117</v>
      </c>
      <c r="F2022" t="s">
        <v>4076</v>
      </c>
      <c r="G2022" t="str">
        <f>"201406005618"</f>
        <v>201406005618</v>
      </c>
      <c r="H2022" t="s">
        <v>243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30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>
        <v>0</v>
      </c>
      <c r="X2022">
        <v>0</v>
      </c>
      <c r="Y2022">
        <v>0</v>
      </c>
      <c r="Z2022">
        <v>0</v>
      </c>
      <c r="AA2022">
        <v>0</v>
      </c>
      <c r="AB2022" t="s">
        <v>4077</v>
      </c>
    </row>
    <row r="2023" spans="1:28" x14ac:dyDescent="0.25">
      <c r="H2023" t="s">
        <v>4078</v>
      </c>
    </row>
    <row r="2024" spans="1:28" x14ac:dyDescent="0.25">
      <c r="A2024">
        <v>1009</v>
      </c>
      <c r="B2024">
        <v>5303</v>
      </c>
      <c r="C2024" t="s">
        <v>4079</v>
      </c>
      <c r="D2024" t="s">
        <v>4080</v>
      </c>
      <c r="E2024" t="s">
        <v>762</v>
      </c>
      <c r="F2024" t="s">
        <v>4081</v>
      </c>
      <c r="G2024" t="str">
        <f>"00230489"</f>
        <v>00230489</v>
      </c>
      <c r="H2024" t="s">
        <v>243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30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0</v>
      </c>
      <c r="X2024">
        <v>0</v>
      </c>
      <c r="Y2024">
        <v>0</v>
      </c>
      <c r="Z2024">
        <v>0</v>
      </c>
      <c r="AA2024">
        <v>0</v>
      </c>
      <c r="AB2024" t="s">
        <v>4077</v>
      </c>
    </row>
    <row r="2025" spans="1:28" x14ac:dyDescent="0.25">
      <c r="H2025" t="s">
        <v>4082</v>
      </c>
    </row>
    <row r="2026" spans="1:28" x14ac:dyDescent="0.25">
      <c r="A2026">
        <v>1010</v>
      </c>
      <c r="B2026">
        <v>4407</v>
      </c>
      <c r="C2026" t="s">
        <v>4083</v>
      </c>
      <c r="D2026" t="s">
        <v>43</v>
      </c>
      <c r="E2026" t="s">
        <v>20</v>
      </c>
      <c r="F2026" t="s">
        <v>4084</v>
      </c>
      <c r="G2026" t="str">
        <f>"00202947"</f>
        <v>00202947</v>
      </c>
      <c r="H2026" t="s">
        <v>243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30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>
        <v>0</v>
      </c>
      <c r="X2026">
        <v>1</v>
      </c>
      <c r="Y2026">
        <v>0</v>
      </c>
      <c r="Z2026">
        <v>0</v>
      </c>
      <c r="AA2026">
        <v>0</v>
      </c>
      <c r="AB2026" t="s">
        <v>4077</v>
      </c>
    </row>
    <row r="2027" spans="1:28" x14ac:dyDescent="0.25">
      <c r="H2027">
        <v>1009</v>
      </c>
    </row>
    <row r="2028" spans="1:28" x14ac:dyDescent="0.25">
      <c r="A2028">
        <v>1011</v>
      </c>
      <c r="B2028">
        <v>2527</v>
      </c>
      <c r="C2028" t="s">
        <v>4085</v>
      </c>
      <c r="D2028" t="s">
        <v>4086</v>
      </c>
      <c r="E2028" t="s">
        <v>154</v>
      </c>
      <c r="F2028" t="s">
        <v>4087</v>
      </c>
      <c r="G2028" t="str">
        <f>"200901000687"</f>
        <v>200901000687</v>
      </c>
      <c r="H2028" t="s">
        <v>1161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50</v>
      </c>
      <c r="O2028">
        <v>30</v>
      </c>
      <c r="P2028">
        <v>0</v>
      </c>
      <c r="Q2028">
        <v>0</v>
      </c>
      <c r="R2028">
        <v>0</v>
      </c>
      <c r="S2028">
        <v>0</v>
      </c>
      <c r="T2028">
        <v>0</v>
      </c>
      <c r="U2028">
        <v>0</v>
      </c>
      <c r="V2028">
        <v>0</v>
      </c>
      <c r="X2028">
        <v>0</v>
      </c>
      <c r="Y2028">
        <v>0</v>
      </c>
      <c r="Z2028">
        <v>0</v>
      </c>
      <c r="AA2028">
        <v>0</v>
      </c>
      <c r="AB2028" t="s">
        <v>4088</v>
      </c>
    </row>
    <row r="2029" spans="1:28" x14ac:dyDescent="0.25">
      <c r="H2029" t="s">
        <v>4089</v>
      </c>
    </row>
    <row r="2030" spans="1:28" x14ac:dyDescent="0.25">
      <c r="A2030">
        <v>1012</v>
      </c>
      <c r="B2030">
        <v>5242</v>
      </c>
      <c r="C2030" t="s">
        <v>3395</v>
      </c>
      <c r="D2030" t="s">
        <v>14</v>
      </c>
      <c r="E2030" t="s">
        <v>134</v>
      </c>
      <c r="F2030" t="s">
        <v>4090</v>
      </c>
      <c r="G2030" t="str">
        <f>"201511010565"</f>
        <v>201511010565</v>
      </c>
      <c r="H2030" t="s">
        <v>670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70</v>
      </c>
      <c r="O2030">
        <v>0</v>
      </c>
      <c r="P2030">
        <v>0</v>
      </c>
      <c r="Q2030">
        <v>0</v>
      </c>
      <c r="R2030">
        <v>0</v>
      </c>
      <c r="S2030">
        <v>0</v>
      </c>
      <c r="T2030">
        <v>0</v>
      </c>
      <c r="U2030">
        <v>0</v>
      </c>
      <c r="V2030">
        <v>0</v>
      </c>
      <c r="X2030">
        <v>0</v>
      </c>
      <c r="Y2030">
        <v>0</v>
      </c>
      <c r="Z2030">
        <v>0</v>
      </c>
      <c r="AA2030">
        <v>0</v>
      </c>
      <c r="AB2030" t="s">
        <v>4091</v>
      </c>
    </row>
    <row r="2031" spans="1:28" x14ac:dyDescent="0.25">
      <c r="H2031" t="s">
        <v>205</v>
      </c>
    </row>
    <row r="2032" spans="1:28" x14ac:dyDescent="0.25">
      <c r="A2032">
        <v>1013</v>
      </c>
      <c r="B2032">
        <v>2348</v>
      </c>
      <c r="C2032" t="s">
        <v>4092</v>
      </c>
      <c r="D2032" t="s">
        <v>20</v>
      </c>
      <c r="E2032" t="s">
        <v>50</v>
      </c>
      <c r="F2032" t="s">
        <v>4093</v>
      </c>
      <c r="G2032" t="str">
        <f>"00366977"</f>
        <v>00366977</v>
      </c>
      <c r="H2032" t="s">
        <v>670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70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>
        <v>0</v>
      </c>
      <c r="X2032">
        <v>0</v>
      </c>
      <c r="Y2032">
        <v>0</v>
      </c>
      <c r="Z2032">
        <v>0</v>
      </c>
      <c r="AA2032">
        <v>0</v>
      </c>
      <c r="AB2032" t="s">
        <v>4091</v>
      </c>
    </row>
    <row r="2033" spans="1:28" x14ac:dyDescent="0.25">
      <c r="H2033" t="s">
        <v>4094</v>
      </c>
    </row>
    <row r="2034" spans="1:28" x14ac:dyDescent="0.25">
      <c r="A2034">
        <v>1014</v>
      </c>
      <c r="B2034">
        <v>885</v>
      </c>
      <c r="C2034" t="s">
        <v>4095</v>
      </c>
      <c r="D2034" t="s">
        <v>807</v>
      </c>
      <c r="E2034" t="s">
        <v>194</v>
      </c>
      <c r="F2034" t="s">
        <v>4096</v>
      </c>
      <c r="G2034" t="str">
        <f>"201506002526"</f>
        <v>201506002526</v>
      </c>
      <c r="H2034" t="s">
        <v>670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70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>
        <v>0</v>
      </c>
      <c r="X2034">
        <v>0</v>
      </c>
      <c r="Y2034">
        <v>0</v>
      </c>
      <c r="Z2034">
        <v>0</v>
      </c>
      <c r="AA2034">
        <v>0</v>
      </c>
      <c r="AB2034" t="s">
        <v>4091</v>
      </c>
    </row>
    <row r="2035" spans="1:28" x14ac:dyDescent="0.25">
      <c r="H2035" t="s">
        <v>4097</v>
      </c>
    </row>
    <row r="2036" spans="1:28" x14ac:dyDescent="0.25">
      <c r="A2036">
        <v>1015</v>
      </c>
      <c r="B2036">
        <v>835</v>
      </c>
      <c r="C2036" t="s">
        <v>339</v>
      </c>
      <c r="D2036" t="s">
        <v>4098</v>
      </c>
      <c r="E2036" t="s">
        <v>653</v>
      </c>
      <c r="F2036" t="s">
        <v>4099</v>
      </c>
      <c r="G2036" t="str">
        <f>"00238610"</f>
        <v>00238610</v>
      </c>
      <c r="H2036" t="s">
        <v>670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70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0</v>
      </c>
      <c r="X2036">
        <v>0</v>
      </c>
      <c r="Y2036">
        <v>0</v>
      </c>
      <c r="Z2036">
        <v>0</v>
      </c>
      <c r="AA2036">
        <v>0</v>
      </c>
      <c r="AB2036" t="s">
        <v>4091</v>
      </c>
    </row>
    <row r="2037" spans="1:28" x14ac:dyDescent="0.25">
      <c r="H2037" t="s">
        <v>4100</v>
      </c>
    </row>
    <row r="2038" spans="1:28" x14ac:dyDescent="0.25">
      <c r="A2038">
        <v>1016</v>
      </c>
      <c r="B2038">
        <v>3311</v>
      </c>
      <c r="C2038" t="s">
        <v>958</v>
      </c>
      <c r="D2038" t="s">
        <v>480</v>
      </c>
      <c r="E2038" t="s">
        <v>762</v>
      </c>
      <c r="F2038" t="s">
        <v>4101</v>
      </c>
      <c r="G2038" t="str">
        <f>"00208370"</f>
        <v>00208370</v>
      </c>
      <c r="H2038" t="s">
        <v>2173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30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>
        <v>0</v>
      </c>
      <c r="X2038">
        <v>0</v>
      </c>
      <c r="Y2038">
        <v>0</v>
      </c>
      <c r="Z2038">
        <v>0</v>
      </c>
      <c r="AA2038">
        <v>0</v>
      </c>
      <c r="AB2038" t="s">
        <v>4102</v>
      </c>
    </row>
    <row r="2039" spans="1:28" x14ac:dyDescent="0.25">
      <c r="H2039" t="s">
        <v>4103</v>
      </c>
    </row>
    <row r="2040" spans="1:28" x14ac:dyDescent="0.25">
      <c r="A2040">
        <v>1017</v>
      </c>
      <c r="B2040">
        <v>2024</v>
      </c>
      <c r="C2040" t="s">
        <v>4104</v>
      </c>
      <c r="D2040" t="s">
        <v>104</v>
      </c>
      <c r="E2040" t="s">
        <v>44</v>
      </c>
      <c r="F2040" t="s">
        <v>4105</v>
      </c>
      <c r="G2040" t="str">
        <f>"00221718"</f>
        <v>00221718</v>
      </c>
      <c r="H2040">
        <v>682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70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>
        <v>0</v>
      </c>
      <c r="X2040">
        <v>0</v>
      </c>
      <c r="Y2040">
        <v>0</v>
      </c>
      <c r="Z2040">
        <v>0</v>
      </c>
      <c r="AA2040">
        <v>0</v>
      </c>
      <c r="AB2040">
        <v>752</v>
      </c>
    </row>
    <row r="2041" spans="1:28" x14ac:dyDescent="0.25">
      <c r="H2041" t="s">
        <v>4106</v>
      </c>
    </row>
    <row r="2042" spans="1:28" x14ac:dyDescent="0.25">
      <c r="A2042">
        <v>1018</v>
      </c>
      <c r="B2042">
        <v>4831</v>
      </c>
      <c r="C2042" t="s">
        <v>4107</v>
      </c>
      <c r="D2042" t="s">
        <v>807</v>
      </c>
      <c r="E2042" t="s">
        <v>212</v>
      </c>
      <c r="F2042" t="s">
        <v>4108</v>
      </c>
      <c r="G2042" t="str">
        <f>"00269966"</f>
        <v>00269966</v>
      </c>
      <c r="H2042" t="s">
        <v>2188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0</v>
      </c>
      <c r="R2042">
        <v>0</v>
      </c>
      <c r="S2042">
        <v>0</v>
      </c>
      <c r="T2042">
        <v>0</v>
      </c>
      <c r="U2042">
        <v>0</v>
      </c>
      <c r="V2042">
        <v>0</v>
      </c>
      <c r="X2042">
        <v>0</v>
      </c>
      <c r="Y2042">
        <v>0</v>
      </c>
      <c r="Z2042">
        <v>0</v>
      </c>
      <c r="AA2042">
        <v>0</v>
      </c>
      <c r="AB2042" t="s">
        <v>4109</v>
      </c>
    </row>
    <row r="2043" spans="1:28" x14ac:dyDescent="0.25">
      <c r="H2043" t="s">
        <v>4110</v>
      </c>
    </row>
    <row r="2044" spans="1:28" x14ac:dyDescent="0.25">
      <c r="A2044">
        <v>1019</v>
      </c>
      <c r="B2044">
        <v>4784</v>
      </c>
      <c r="C2044" t="s">
        <v>4111</v>
      </c>
      <c r="D2044" t="s">
        <v>362</v>
      </c>
      <c r="E2044" t="s">
        <v>80</v>
      </c>
      <c r="F2044" t="s">
        <v>4112</v>
      </c>
      <c r="G2044" t="str">
        <f>"201410007169"</f>
        <v>201410007169</v>
      </c>
      <c r="H2044" t="s">
        <v>2188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30</v>
      </c>
      <c r="O2044">
        <v>0</v>
      </c>
      <c r="P2044">
        <v>0</v>
      </c>
      <c r="Q2044">
        <v>0</v>
      </c>
      <c r="R2044">
        <v>0</v>
      </c>
      <c r="S2044">
        <v>0</v>
      </c>
      <c r="T2044">
        <v>0</v>
      </c>
      <c r="U2044">
        <v>0</v>
      </c>
      <c r="V2044">
        <v>0</v>
      </c>
      <c r="X2044">
        <v>0</v>
      </c>
      <c r="Y2044">
        <v>0</v>
      </c>
      <c r="Z2044">
        <v>0</v>
      </c>
      <c r="AA2044">
        <v>0</v>
      </c>
      <c r="AB2044" t="s">
        <v>4109</v>
      </c>
    </row>
    <row r="2045" spans="1:28" x14ac:dyDescent="0.25">
      <c r="H2045" t="s">
        <v>4113</v>
      </c>
    </row>
    <row r="2046" spans="1:28" x14ac:dyDescent="0.25">
      <c r="A2046">
        <v>1020</v>
      </c>
      <c r="B2046">
        <v>680</v>
      </c>
      <c r="C2046" t="s">
        <v>4114</v>
      </c>
      <c r="D2046" t="s">
        <v>423</v>
      </c>
      <c r="E2046" t="s">
        <v>393</v>
      </c>
      <c r="F2046" t="s">
        <v>4115</v>
      </c>
      <c r="G2046" t="str">
        <f>"00240295"</f>
        <v>00240295</v>
      </c>
      <c r="H2046" t="s">
        <v>2188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30</v>
      </c>
      <c r="O2046">
        <v>0</v>
      </c>
      <c r="P2046">
        <v>0</v>
      </c>
      <c r="Q2046">
        <v>0</v>
      </c>
      <c r="R2046">
        <v>0</v>
      </c>
      <c r="S2046">
        <v>0</v>
      </c>
      <c r="T2046">
        <v>0</v>
      </c>
      <c r="U2046">
        <v>0</v>
      </c>
      <c r="V2046">
        <v>0</v>
      </c>
      <c r="X2046">
        <v>1</v>
      </c>
      <c r="Y2046">
        <v>0</v>
      </c>
      <c r="Z2046">
        <v>0</v>
      </c>
      <c r="AA2046">
        <v>0</v>
      </c>
      <c r="AB2046" t="s">
        <v>4109</v>
      </c>
    </row>
    <row r="2047" spans="1:28" x14ac:dyDescent="0.25">
      <c r="H2047" t="s">
        <v>4116</v>
      </c>
    </row>
    <row r="2048" spans="1:28" x14ac:dyDescent="0.25">
      <c r="A2048">
        <v>1021</v>
      </c>
      <c r="B2048">
        <v>4803</v>
      </c>
      <c r="C2048" t="s">
        <v>2436</v>
      </c>
      <c r="D2048" t="s">
        <v>187</v>
      </c>
      <c r="E2048" t="s">
        <v>51</v>
      </c>
      <c r="F2048" t="s">
        <v>4117</v>
      </c>
      <c r="G2048" t="str">
        <f>"00231268"</f>
        <v>00231268</v>
      </c>
      <c r="H2048" t="s">
        <v>289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30</v>
      </c>
      <c r="O2048">
        <v>0</v>
      </c>
      <c r="P2048">
        <v>30</v>
      </c>
      <c r="Q2048">
        <v>0</v>
      </c>
      <c r="R2048">
        <v>0</v>
      </c>
      <c r="S2048">
        <v>0</v>
      </c>
      <c r="T2048">
        <v>0</v>
      </c>
      <c r="U2048">
        <v>0</v>
      </c>
      <c r="V2048">
        <v>0</v>
      </c>
      <c r="X2048">
        <v>0</v>
      </c>
      <c r="Y2048">
        <v>0</v>
      </c>
      <c r="Z2048">
        <v>0</v>
      </c>
      <c r="AA2048">
        <v>0</v>
      </c>
      <c r="AB2048" t="s">
        <v>4118</v>
      </c>
    </row>
    <row r="2049" spans="1:28" x14ac:dyDescent="0.25">
      <c r="H2049" t="s">
        <v>4119</v>
      </c>
    </row>
    <row r="2050" spans="1:28" x14ac:dyDescent="0.25">
      <c r="A2050">
        <v>1022</v>
      </c>
      <c r="B2050">
        <v>4324</v>
      </c>
      <c r="C2050" t="s">
        <v>4120</v>
      </c>
      <c r="D2050" t="s">
        <v>271</v>
      </c>
      <c r="E2050" t="s">
        <v>840</v>
      </c>
      <c r="F2050" t="s">
        <v>4121</v>
      </c>
      <c r="G2050" t="str">
        <f>"201304003371"</f>
        <v>201304003371</v>
      </c>
      <c r="H2050" t="s">
        <v>2193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30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>
        <v>0</v>
      </c>
      <c r="X2050">
        <v>0</v>
      </c>
      <c r="Y2050">
        <v>0</v>
      </c>
      <c r="Z2050">
        <v>0</v>
      </c>
      <c r="AA2050">
        <v>0</v>
      </c>
      <c r="AB2050" t="s">
        <v>4122</v>
      </c>
    </row>
    <row r="2051" spans="1:28" x14ac:dyDescent="0.25">
      <c r="H2051" t="s">
        <v>4123</v>
      </c>
    </row>
    <row r="2052" spans="1:28" x14ac:dyDescent="0.25">
      <c r="A2052">
        <v>1023</v>
      </c>
      <c r="B2052">
        <v>1342</v>
      </c>
      <c r="C2052" t="s">
        <v>4124</v>
      </c>
      <c r="D2052" t="s">
        <v>155</v>
      </c>
      <c r="E2052" t="s">
        <v>98</v>
      </c>
      <c r="F2052" t="s">
        <v>4125</v>
      </c>
      <c r="G2052" t="str">
        <f>"00182820"</f>
        <v>00182820</v>
      </c>
      <c r="H2052" t="s">
        <v>2193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30</v>
      </c>
      <c r="O2052">
        <v>0</v>
      </c>
      <c r="P2052">
        <v>0</v>
      </c>
      <c r="Q2052">
        <v>0</v>
      </c>
      <c r="R2052">
        <v>0</v>
      </c>
      <c r="S2052">
        <v>0</v>
      </c>
      <c r="T2052">
        <v>0</v>
      </c>
      <c r="U2052">
        <v>0</v>
      </c>
      <c r="V2052">
        <v>0</v>
      </c>
      <c r="X2052">
        <v>0</v>
      </c>
      <c r="Y2052">
        <v>0</v>
      </c>
      <c r="Z2052">
        <v>0</v>
      </c>
      <c r="AA2052">
        <v>0</v>
      </c>
      <c r="AB2052" t="s">
        <v>4122</v>
      </c>
    </row>
    <row r="2053" spans="1:28" x14ac:dyDescent="0.25">
      <c r="H2053" t="s">
        <v>1195</v>
      </c>
    </row>
    <row r="2054" spans="1:28" x14ac:dyDescent="0.25">
      <c r="A2054">
        <v>1024</v>
      </c>
      <c r="B2054">
        <v>2425</v>
      </c>
      <c r="C2054" t="s">
        <v>4126</v>
      </c>
      <c r="D2054" t="s">
        <v>807</v>
      </c>
      <c r="E2054" t="s">
        <v>155</v>
      </c>
      <c r="F2054" t="s">
        <v>4127</v>
      </c>
      <c r="G2054" t="str">
        <f>"00155338"</f>
        <v>00155338</v>
      </c>
      <c r="H2054" t="s">
        <v>2193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30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0</v>
      </c>
      <c r="U2054">
        <v>0</v>
      </c>
      <c r="V2054">
        <v>0</v>
      </c>
      <c r="X2054">
        <v>0</v>
      </c>
      <c r="Y2054">
        <v>0</v>
      </c>
      <c r="Z2054">
        <v>0</v>
      </c>
      <c r="AA2054">
        <v>0</v>
      </c>
      <c r="AB2054" t="s">
        <v>4122</v>
      </c>
    </row>
    <row r="2055" spans="1:28" x14ac:dyDescent="0.25">
      <c r="H2055" t="s">
        <v>3834</v>
      </c>
    </row>
    <row r="2056" spans="1:28" x14ac:dyDescent="0.25">
      <c r="A2056">
        <v>1025</v>
      </c>
      <c r="B2056">
        <v>1720</v>
      </c>
      <c r="C2056" t="s">
        <v>4128</v>
      </c>
      <c r="D2056" t="s">
        <v>4129</v>
      </c>
      <c r="E2056" t="s">
        <v>51</v>
      </c>
      <c r="F2056" t="s">
        <v>4130</v>
      </c>
      <c r="G2056" t="str">
        <f>"00305521"</f>
        <v>00305521</v>
      </c>
      <c r="H2056" t="s">
        <v>2193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30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>
        <v>0</v>
      </c>
      <c r="X2056">
        <v>0</v>
      </c>
      <c r="Y2056">
        <v>0</v>
      </c>
      <c r="Z2056">
        <v>0</v>
      </c>
      <c r="AA2056">
        <v>0</v>
      </c>
      <c r="AB2056" t="s">
        <v>4122</v>
      </c>
    </row>
    <row r="2057" spans="1:28" x14ac:dyDescent="0.25">
      <c r="H2057" t="s">
        <v>3294</v>
      </c>
    </row>
    <row r="2058" spans="1:28" x14ac:dyDescent="0.25">
      <c r="A2058">
        <v>1026</v>
      </c>
      <c r="B2058">
        <v>1459</v>
      </c>
      <c r="C2058" t="s">
        <v>4131</v>
      </c>
      <c r="D2058" t="s">
        <v>339</v>
      </c>
      <c r="E2058" t="s">
        <v>640</v>
      </c>
      <c r="F2058" t="s">
        <v>4132</v>
      </c>
      <c r="G2058" t="str">
        <f>"00292918"</f>
        <v>00292918</v>
      </c>
      <c r="H2058" t="s">
        <v>3572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70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>
        <v>0</v>
      </c>
      <c r="X2058">
        <v>0</v>
      </c>
      <c r="Y2058">
        <v>0</v>
      </c>
      <c r="Z2058">
        <v>0</v>
      </c>
      <c r="AA2058">
        <v>0</v>
      </c>
      <c r="AB2058" t="s">
        <v>4133</v>
      </c>
    </row>
    <row r="2059" spans="1:28" x14ac:dyDescent="0.25">
      <c r="H2059" t="s">
        <v>409</v>
      </c>
    </row>
    <row r="2060" spans="1:28" x14ac:dyDescent="0.25">
      <c r="A2060">
        <v>1027</v>
      </c>
      <c r="B2060">
        <v>5184</v>
      </c>
      <c r="C2060" t="s">
        <v>4134</v>
      </c>
      <c r="D2060" t="s">
        <v>247</v>
      </c>
      <c r="E2060" t="s">
        <v>155</v>
      </c>
      <c r="F2060" t="s">
        <v>4135</v>
      </c>
      <c r="G2060" t="str">
        <f>"00106958"</f>
        <v>00106958</v>
      </c>
      <c r="H2060" t="s">
        <v>1456</v>
      </c>
      <c r="I2060">
        <v>0</v>
      </c>
      <c r="J2060">
        <v>0</v>
      </c>
      <c r="K2060">
        <v>0</v>
      </c>
      <c r="L2060">
        <v>0</v>
      </c>
      <c r="M2060">
        <v>100</v>
      </c>
      <c r="N2060">
        <v>30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0</v>
      </c>
      <c r="X2060">
        <v>0</v>
      </c>
      <c r="Y2060">
        <v>0</v>
      </c>
      <c r="Z2060">
        <v>0</v>
      </c>
      <c r="AA2060">
        <v>0</v>
      </c>
      <c r="AB2060" t="s">
        <v>4136</v>
      </c>
    </row>
    <row r="2061" spans="1:28" x14ac:dyDescent="0.25">
      <c r="H2061" t="s">
        <v>4137</v>
      </c>
    </row>
    <row r="2062" spans="1:28" x14ac:dyDescent="0.25">
      <c r="A2062">
        <v>1028</v>
      </c>
      <c r="B2062">
        <v>4544</v>
      </c>
      <c r="C2062" t="s">
        <v>4138</v>
      </c>
      <c r="D2062" t="s">
        <v>14</v>
      </c>
      <c r="E2062" t="s">
        <v>117</v>
      </c>
      <c r="F2062" t="s">
        <v>4139</v>
      </c>
      <c r="G2062" t="str">
        <f>"00315527"</f>
        <v>00315527</v>
      </c>
      <c r="H2062" t="s">
        <v>2721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30</v>
      </c>
      <c r="O2062">
        <v>0</v>
      </c>
      <c r="P2062">
        <v>30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0</v>
      </c>
      <c r="X2062">
        <v>0</v>
      </c>
      <c r="Y2062">
        <v>0</v>
      </c>
      <c r="Z2062">
        <v>0</v>
      </c>
      <c r="AA2062">
        <v>0</v>
      </c>
      <c r="AB2062" t="s">
        <v>4140</v>
      </c>
    </row>
    <row r="2063" spans="1:28" x14ac:dyDescent="0.25">
      <c r="H2063" t="s">
        <v>4141</v>
      </c>
    </row>
    <row r="2064" spans="1:28" x14ac:dyDescent="0.25">
      <c r="A2064">
        <v>1029</v>
      </c>
      <c r="B2064">
        <v>3335</v>
      </c>
      <c r="C2064" t="s">
        <v>264</v>
      </c>
      <c r="D2064" t="s">
        <v>2541</v>
      </c>
      <c r="E2064" t="s">
        <v>1895</v>
      </c>
      <c r="F2064" t="s">
        <v>4142</v>
      </c>
      <c r="G2064" t="str">
        <f>"00108434"</f>
        <v>00108434</v>
      </c>
      <c r="H2064" t="s">
        <v>2945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0</v>
      </c>
      <c r="S2064">
        <v>0</v>
      </c>
      <c r="T2064">
        <v>0</v>
      </c>
      <c r="U2064">
        <v>0</v>
      </c>
      <c r="V2064">
        <v>0</v>
      </c>
      <c r="X2064">
        <v>0</v>
      </c>
      <c r="Y2064">
        <v>0</v>
      </c>
      <c r="Z2064">
        <v>0</v>
      </c>
      <c r="AA2064">
        <v>0</v>
      </c>
      <c r="AB2064" t="s">
        <v>4143</v>
      </c>
    </row>
    <row r="2065" spans="1:28" x14ac:dyDescent="0.25">
      <c r="H2065">
        <v>1009</v>
      </c>
    </row>
    <row r="2066" spans="1:28" x14ac:dyDescent="0.25">
      <c r="A2066">
        <v>1030</v>
      </c>
      <c r="B2066">
        <v>1769</v>
      </c>
      <c r="C2066" t="s">
        <v>4144</v>
      </c>
      <c r="D2066" t="s">
        <v>187</v>
      </c>
      <c r="E2066" t="s">
        <v>20</v>
      </c>
      <c r="F2066" t="s">
        <v>4145</v>
      </c>
      <c r="G2066" t="str">
        <f>"200902000697"</f>
        <v>200902000697</v>
      </c>
      <c r="H2066" t="s">
        <v>2945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30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X2066">
        <v>0</v>
      </c>
      <c r="Y2066">
        <v>0</v>
      </c>
      <c r="Z2066">
        <v>0</v>
      </c>
      <c r="AA2066">
        <v>0</v>
      </c>
      <c r="AB2066" t="s">
        <v>4143</v>
      </c>
    </row>
    <row r="2067" spans="1:28" x14ac:dyDescent="0.25">
      <c r="H2067" t="s">
        <v>4146</v>
      </c>
    </row>
    <row r="2068" spans="1:28" x14ac:dyDescent="0.25">
      <c r="A2068">
        <v>1031</v>
      </c>
      <c r="B2068">
        <v>3231</v>
      </c>
      <c r="C2068" t="s">
        <v>4147</v>
      </c>
      <c r="D2068" t="s">
        <v>306</v>
      </c>
      <c r="E2068" t="s">
        <v>820</v>
      </c>
      <c r="F2068" t="s">
        <v>4148</v>
      </c>
      <c r="G2068" t="str">
        <f>"00362026"</f>
        <v>00362026</v>
      </c>
      <c r="H2068" t="s">
        <v>2945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30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0</v>
      </c>
      <c r="X2068">
        <v>0</v>
      </c>
      <c r="Y2068">
        <v>0</v>
      </c>
      <c r="Z2068">
        <v>0</v>
      </c>
      <c r="AA2068">
        <v>0</v>
      </c>
      <c r="AB2068" t="s">
        <v>4143</v>
      </c>
    </row>
    <row r="2069" spans="1:28" x14ac:dyDescent="0.25">
      <c r="H2069" t="s">
        <v>4149</v>
      </c>
    </row>
    <row r="2070" spans="1:28" x14ac:dyDescent="0.25">
      <c r="A2070">
        <v>1032</v>
      </c>
      <c r="B2070">
        <v>1890</v>
      </c>
      <c r="C2070" t="s">
        <v>4150</v>
      </c>
      <c r="D2070" t="s">
        <v>179</v>
      </c>
      <c r="E2070" t="s">
        <v>51</v>
      </c>
      <c r="F2070" t="s">
        <v>4151</v>
      </c>
      <c r="G2070" t="str">
        <f>"00212735"</f>
        <v>00212735</v>
      </c>
      <c r="H2070" t="s">
        <v>3853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70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>
        <v>0</v>
      </c>
      <c r="X2070">
        <v>1</v>
      </c>
      <c r="Y2070">
        <v>0</v>
      </c>
      <c r="Z2070">
        <v>0</v>
      </c>
      <c r="AA2070">
        <v>0</v>
      </c>
      <c r="AB2070" t="s">
        <v>4152</v>
      </c>
    </row>
    <row r="2071" spans="1:28" x14ac:dyDescent="0.25">
      <c r="H2071" t="s">
        <v>4153</v>
      </c>
    </row>
    <row r="2072" spans="1:28" x14ac:dyDescent="0.25">
      <c r="A2072">
        <v>1033</v>
      </c>
      <c r="B2072">
        <v>4653</v>
      </c>
      <c r="C2072" t="s">
        <v>830</v>
      </c>
      <c r="D2072" t="s">
        <v>362</v>
      </c>
      <c r="E2072" t="s">
        <v>393</v>
      </c>
      <c r="F2072" t="s">
        <v>4154</v>
      </c>
      <c r="G2072" t="str">
        <f>"00365757"</f>
        <v>00365757</v>
      </c>
      <c r="H2072" t="s">
        <v>3120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50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>
        <v>0</v>
      </c>
      <c r="X2072">
        <v>0</v>
      </c>
      <c r="Y2072">
        <v>0</v>
      </c>
      <c r="Z2072">
        <v>0</v>
      </c>
      <c r="AA2072">
        <v>0</v>
      </c>
      <c r="AB2072" t="s">
        <v>4155</v>
      </c>
    </row>
    <row r="2073" spans="1:28" x14ac:dyDescent="0.25">
      <c r="H2073" t="s">
        <v>4156</v>
      </c>
    </row>
    <row r="2074" spans="1:28" x14ac:dyDescent="0.25">
      <c r="A2074">
        <v>1034</v>
      </c>
      <c r="B2074">
        <v>3269</v>
      </c>
      <c r="C2074" t="s">
        <v>4157</v>
      </c>
      <c r="D2074" t="s">
        <v>14</v>
      </c>
      <c r="E2074" t="s">
        <v>20</v>
      </c>
      <c r="F2074" t="s">
        <v>4158</v>
      </c>
      <c r="G2074" t="str">
        <f>"00230199"</f>
        <v>00230199</v>
      </c>
      <c r="H2074" t="s">
        <v>972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30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>
        <v>0</v>
      </c>
      <c r="X2074">
        <v>0</v>
      </c>
      <c r="Y2074">
        <v>0</v>
      </c>
      <c r="Z2074">
        <v>0</v>
      </c>
      <c r="AA2074">
        <v>0</v>
      </c>
      <c r="AB2074" t="s">
        <v>4159</v>
      </c>
    </row>
    <row r="2075" spans="1:28" x14ac:dyDescent="0.25">
      <c r="H2075" t="s">
        <v>4160</v>
      </c>
    </row>
    <row r="2076" spans="1:28" x14ac:dyDescent="0.25">
      <c r="A2076">
        <v>1035</v>
      </c>
      <c r="B2076">
        <v>4182</v>
      </c>
      <c r="C2076" t="s">
        <v>845</v>
      </c>
      <c r="D2076" t="s">
        <v>2541</v>
      </c>
      <c r="E2076" t="s">
        <v>20</v>
      </c>
      <c r="F2076" t="s">
        <v>4161</v>
      </c>
      <c r="G2076" t="str">
        <f>"201506000468"</f>
        <v>201506000468</v>
      </c>
      <c r="H2076" t="s">
        <v>4162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70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>
        <v>0</v>
      </c>
      <c r="X2076">
        <v>0</v>
      </c>
      <c r="Y2076">
        <v>0</v>
      </c>
      <c r="Z2076">
        <v>0</v>
      </c>
      <c r="AA2076">
        <v>0</v>
      </c>
      <c r="AB2076" t="s">
        <v>4163</v>
      </c>
    </row>
    <row r="2077" spans="1:28" x14ac:dyDescent="0.25">
      <c r="H2077" t="s">
        <v>4164</v>
      </c>
    </row>
    <row r="2078" spans="1:28" x14ac:dyDescent="0.25">
      <c r="A2078">
        <v>1036</v>
      </c>
      <c r="B2078">
        <v>2373</v>
      </c>
      <c r="C2078" t="s">
        <v>4165</v>
      </c>
      <c r="D2078" t="s">
        <v>80</v>
      </c>
      <c r="E2078" t="s">
        <v>44</v>
      </c>
      <c r="F2078" t="s">
        <v>4166</v>
      </c>
      <c r="G2078" t="str">
        <f>"00367228"</f>
        <v>00367228</v>
      </c>
      <c r="H2078" t="s">
        <v>4162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70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>
        <v>0</v>
      </c>
      <c r="X2078">
        <v>0</v>
      </c>
      <c r="Y2078">
        <v>0</v>
      </c>
      <c r="Z2078">
        <v>0</v>
      </c>
      <c r="AA2078">
        <v>0</v>
      </c>
      <c r="AB2078" t="s">
        <v>4163</v>
      </c>
    </row>
    <row r="2079" spans="1:28" x14ac:dyDescent="0.25">
      <c r="H2079" t="s">
        <v>4167</v>
      </c>
    </row>
    <row r="2080" spans="1:28" x14ac:dyDescent="0.25">
      <c r="A2080">
        <v>1037</v>
      </c>
      <c r="B2080">
        <v>2322</v>
      </c>
      <c r="C2080" t="s">
        <v>4168</v>
      </c>
      <c r="D2080" t="s">
        <v>51</v>
      </c>
      <c r="E2080" t="s">
        <v>869</v>
      </c>
      <c r="F2080" t="s">
        <v>4169</v>
      </c>
      <c r="G2080" t="str">
        <f>"201402009511"</f>
        <v>201402009511</v>
      </c>
      <c r="H2080" t="s">
        <v>4162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70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>
        <v>0</v>
      </c>
      <c r="X2080">
        <v>0</v>
      </c>
      <c r="Y2080">
        <v>0</v>
      </c>
      <c r="Z2080">
        <v>0</v>
      </c>
      <c r="AA2080">
        <v>0</v>
      </c>
      <c r="AB2080" t="s">
        <v>4163</v>
      </c>
    </row>
    <row r="2081" spans="1:28" x14ac:dyDescent="0.25">
      <c r="H2081" t="s">
        <v>4170</v>
      </c>
    </row>
    <row r="2082" spans="1:28" x14ac:dyDescent="0.25">
      <c r="A2082">
        <v>1038</v>
      </c>
      <c r="B2082">
        <v>3174</v>
      </c>
      <c r="C2082" t="s">
        <v>441</v>
      </c>
      <c r="D2082" t="s">
        <v>265</v>
      </c>
      <c r="E2082" t="s">
        <v>14</v>
      </c>
      <c r="F2082" t="s">
        <v>4171</v>
      </c>
      <c r="G2082" t="str">
        <f>"00122356"</f>
        <v>00122356</v>
      </c>
      <c r="H2082" t="s">
        <v>125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30</v>
      </c>
      <c r="O2082">
        <v>0</v>
      </c>
      <c r="P2082">
        <v>0</v>
      </c>
      <c r="Q2082">
        <v>30</v>
      </c>
      <c r="R2082">
        <v>0</v>
      </c>
      <c r="S2082">
        <v>0</v>
      </c>
      <c r="T2082">
        <v>0</v>
      </c>
      <c r="U2082">
        <v>0</v>
      </c>
      <c r="V2082">
        <v>0</v>
      </c>
      <c r="X2082">
        <v>0</v>
      </c>
      <c r="Y2082">
        <v>0</v>
      </c>
      <c r="Z2082">
        <v>0</v>
      </c>
      <c r="AA2082">
        <v>0</v>
      </c>
      <c r="AB2082" t="s">
        <v>4172</v>
      </c>
    </row>
    <row r="2083" spans="1:28" x14ac:dyDescent="0.25">
      <c r="H2083" t="s">
        <v>4173</v>
      </c>
    </row>
    <row r="2084" spans="1:28" x14ac:dyDescent="0.25">
      <c r="A2084">
        <v>1039</v>
      </c>
      <c r="B2084">
        <v>3218</v>
      </c>
      <c r="C2084" t="s">
        <v>4174</v>
      </c>
      <c r="D2084" t="s">
        <v>155</v>
      </c>
      <c r="E2084" t="s">
        <v>44</v>
      </c>
      <c r="F2084" t="s">
        <v>4175</v>
      </c>
      <c r="G2084" t="str">
        <f>"00231275"</f>
        <v>00231275</v>
      </c>
      <c r="H2084" t="s">
        <v>318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50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0</v>
      </c>
      <c r="X2084">
        <v>0</v>
      </c>
      <c r="Y2084">
        <v>0</v>
      </c>
      <c r="Z2084">
        <v>0</v>
      </c>
      <c r="AA2084">
        <v>0</v>
      </c>
      <c r="AB2084" t="s">
        <v>4176</v>
      </c>
    </row>
    <row r="2085" spans="1:28" x14ac:dyDescent="0.25">
      <c r="H2085" t="s">
        <v>4119</v>
      </c>
    </row>
    <row r="2086" spans="1:28" x14ac:dyDescent="0.25">
      <c r="A2086">
        <v>1040</v>
      </c>
      <c r="B2086">
        <v>3844</v>
      </c>
      <c r="C2086" t="s">
        <v>4177</v>
      </c>
      <c r="D2086" t="s">
        <v>387</v>
      </c>
      <c r="E2086" t="s">
        <v>277</v>
      </c>
      <c r="F2086" t="s">
        <v>4178</v>
      </c>
      <c r="G2086" t="str">
        <f>"201511020052"</f>
        <v>201511020052</v>
      </c>
      <c r="H2086" t="s">
        <v>1497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30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>
        <v>0</v>
      </c>
      <c r="X2086">
        <v>0</v>
      </c>
      <c r="Y2086">
        <v>0</v>
      </c>
      <c r="Z2086">
        <v>0</v>
      </c>
      <c r="AA2086">
        <v>0</v>
      </c>
      <c r="AB2086" t="s">
        <v>4179</v>
      </c>
    </row>
    <row r="2087" spans="1:28" x14ac:dyDescent="0.25">
      <c r="H2087" t="s">
        <v>4180</v>
      </c>
    </row>
    <row r="2088" spans="1:28" x14ac:dyDescent="0.25">
      <c r="A2088">
        <v>1041</v>
      </c>
      <c r="B2088">
        <v>4994</v>
      </c>
      <c r="C2088" t="s">
        <v>4181</v>
      </c>
      <c r="D2088" t="s">
        <v>70</v>
      </c>
      <c r="E2088" t="s">
        <v>69</v>
      </c>
      <c r="F2088" t="s">
        <v>4182</v>
      </c>
      <c r="G2088" t="str">
        <f>"00137809"</f>
        <v>00137809</v>
      </c>
      <c r="H2088" t="s">
        <v>484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70</v>
      </c>
      <c r="O2088">
        <v>0</v>
      </c>
      <c r="P2088">
        <v>50</v>
      </c>
      <c r="Q2088">
        <v>0</v>
      </c>
      <c r="R2088">
        <v>0</v>
      </c>
      <c r="S2088">
        <v>0</v>
      </c>
      <c r="T2088">
        <v>0</v>
      </c>
      <c r="U2088">
        <v>0</v>
      </c>
      <c r="V2088">
        <v>0</v>
      </c>
      <c r="X2088">
        <v>0</v>
      </c>
      <c r="Y2088">
        <v>0</v>
      </c>
      <c r="Z2088">
        <v>0</v>
      </c>
      <c r="AA2088">
        <v>0</v>
      </c>
      <c r="AB2088" t="s">
        <v>4183</v>
      </c>
    </row>
    <row r="2089" spans="1:28" x14ac:dyDescent="0.25">
      <c r="H2089" t="s">
        <v>4184</v>
      </c>
    </row>
    <row r="2090" spans="1:28" x14ac:dyDescent="0.25">
      <c r="A2090">
        <v>1042</v>
      </c>
      <c r="B2090">
        <v>3250</v>
      </c>
      <c r="C2090" t="s">
        <v>4185</v>
      </c>
      <c r="D2090" t="s">
        <v>480</v>
      </c>
      <c r="E2090" t="s">
        <v>4186</v>
      </c>
      <c r="F2090" t="s">
        <v>4187</v>
      </c>
      <c r="G2090" t="str">
        <f>"201504004358"</f>
        <v>201504004358</v>
      </c>
      <c r="H2090" t="s">
        <v>1161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70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0</v>
      </c>
      <c r="X2090">
        <v>0</v>
      </c>
      <c r="Y2090">
        <v>0</v>
      </c>
      <c r="Z2090">
        <v>0</v>
      </c>
      <c r="AA2090">
        <v>0</v>
      </c>
      <c r="AB2090" t="s">
        <v>4188</v>
      </c>
    </row>
    <row r="2091" spans="1:28" x14ac:dyDescent="0.25">
      <c r="H2091" t="s">
        <v>4189</v>
      </c>
    </row>
    <row r="2092" spans="1:28" x14ac:dyDescent="0.25">
      <c r="A2092">
        <v>1043</v>
      </c>
      <c r="B2092">
        <v>4975</v>
      </c>
      <c r="C2092" t="s">
        <v>4190</v>
      </c>
      <c r="D2092" t="s">
        <v>366</v>
      </c>
      <c r="E2092" t="s">
        <v>14</v>
      </c>
      <c r="F2092" t="s">
        <v>4191</v>
      </c>
      <c r="G2092" t="str">
        <f>"00239866"</f>
        <v>00239866</v>
      </c>
      <c r="H2092" t="s">
        <v>670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30</v>
      </c>
      <c r="O2092">
        <v>30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>
        <v>0</v>
      </c>
      <c r="X2092">
        <v>0</v>
      </c>
      <c r="Y2092">
        <v>0</v>
      </c>
      <c r="Z2092">
        <v>0</v>
      </c>
      <c r="AA2092">
        <v>0</v>
      </c>
      <c r="AB2092" t="s">
        <v>4192</v>
      </c>
    </row>
    <row r="2093" spans="1:28" x14ac:dyDescent="0.25">
      <c r="H2093" t="s">
        <v>4193</v>
      </c>
    </row>
    <row r="2094" spans="1:28" x14ac:dyDescent="0.25">
      <c r="A2094">
        <v>1044</v>
      </c>
      <c r="B2094">
        <v>4402</v>
      </c>
      <c r="C2094" t="s">
        <v>4194</v>
      </c>
      <c r="D2094" t="s">
        <v>265</v>
      </c>
      <c r="E2094" t="s">
        <v>80</v>
      </c>
      <c r="F2094" t="s">
        <v>4195</v>
      </c>
      <c r="G2094" t="str">
        <f>"00173697"</f>
        <v>00173697</v>
      </c>
      <c r="H2094">
        <v>693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50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>
        <v>0</v>
      </c>
      <c r="X2094">
        <v>0</v>
      </c>
      <c r="Y2094">
        <v>0</v>
      </c>
      <c r="Z2094">
        <v>0</v>
      </c>
      <c r="AA2094">
        <v>0</v>
      </c>
      <c r="AB2094">
        <v>743</v>
      </c>
    </row>
    <row r="2095" spans="1:28" x14ac:dyDescent="0.25">
      <c r="H2095" t="s">
        <v>4196</v>
      </c>
    </row>
    <row r="2096" spans="1:28" x14ac:dyDescent="0.25">
      <c r="A2096">
        <v>1045</v>
      </c>
      <c r="B2096">
        <v>2551</v>
      </c>
      <c r="C2096" t="s">
        <v>4197</v>
      </c>
      <c r="D2096" t="s">
        <v>155</v>
      </c>
      <c r="E2096" t="s">
        <v>51</v>
      </c>
      <c r="F2096" t="s">
        <v>4198</v>
      </c>
      <c r="G2096" t="str">
        <f>"201502002744"</f>
        <v>201502002744</v>
      </c>
      <c r="H2096" t="s">
        <v>977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30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>
        <v>0</v>
      </c>
      <c r="X2096">
        <v>0</v>
      </c>
      <c r="Y2096">
        <v>0</v>
      </c>
      <c r="Z2096">
        <v>0</v>
      </c>
      <c r="AA2096">
        <v>0</v>
      </c>
      <c r="AB2096" t="s">
        <v>4199</v>
      </c>
    </row>
    <row r="2097" spans="1:28" x14ac:dyDescent="0.25">
      <c r="H2097" t="s">
        <v>575</v>
      </c>
    </row>
    <row r="2098" spans="1:28" x14ac:dyDescent="0.25">
      <c r="A2098">
        <v>1046</v>
      </c>
      <c r="B2098">
        <v>1088</v>
      </c>
      <c r="C2098" t="s">
        <v>4200</v>
      </c>
      <c r="D2098" t="s">
        <v>4201</v>
      </c>
      <c r="E2098" t="s">
        <v>2081</v>
      </c>
      <c r="F2098" t="s">
        <v>4202</v>
      </c>
      <c r="G2098" t="str">
        <f>"00206307"</f>
        <v>00206307</v>
      </c>
      <c r="H2098" t="s">
        <v>977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30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>
        <v>0</v>
      </c>
      <c r="X2098">
        <v>0</v>
      </c>
      <c r="Y2098">
        <v>0</v>
      </c>
      <c r="Z2098">
        <v>0</v>
      </c>
      <c r="AA2098">
        <v>0</v>
      </c>
      <c r="AB2098" t="s">
        <v>4199</v>
      </c>
    </row>
    <row r="2099" spans="1:28" x14ac:dyDescent="0.25">
      <c r="H2099" t="s">
        <v>4203</v>
      </c>
    </row>
    <row r="2100" spans="1:28" x14ac:dyDescent="0.25">
      <c r="A2100">
        <v>1047</v>
      </c>
      <c r="B2100">
        <v>2383</v>
      </c>
      <c r="C2100" t="s">
        <v>4204</v>
      </c>
      <c r="D2100" t="s">
        <v>4205</v>
      </c>
      <c r="E2100" t="s">
        <v>155</v>
      </c>
      <c r="F2100" t="s">
        <v>4206</v>
      </c>
      <c r="G2100" t="str">
        <f>"00361631"</f>
        <v>00361631</v>
      </c>
      <c r="H2100" t="s">
        <v>4207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30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>
        <v>0</v>
      </c>
      <c r="X2100">
        <v>0</v>
      </c>
      <c r="Y2100">
        <v>0</v>
      </c>
      <c r="Z2100">
        <v>0</v>
      </c>
      <c r="AA2100">
        <v>0</v>
      </c>
      <c r="AB2100" t="s">
        <v>4208</v>
      </c>
    </row>
    <row r="2101" spans="1:28" x14ac:dyDescent="0.25">
      <c r="H2101" t="s">
        <v>4209</v>
      </c>
    </row>
    <row r="2102" spans="1:28" x14ac:dyDescent="0.25">
      <c r="A2102">
        <v>1048</v>
      </c>
      <c r="B2102">
        <v>4867</v>
      </c>
      <c r="C2102" t="s">
        <v>4210</v>
      </c>
      <c r="D2102" t="s">
        <v>44</v>
      </c>
      <c r="E2102" t="s">
        <v>109</v>
      </c>
      <c r="F2102" t="s">
        <v>4211</v>
      </c>
      <c r="G2102" t="str">
        <f>"00107458"</f>
        <v>00107458</v>
      </c>
      <c r="H2102" t="s">
        <v>3572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30</v>
      </c>
      <c r="O2102">
        <v>30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0</v>
      </c>
      <c r="X2102">
        <v>0</v>
      </c>
      <c r="Y2102">
        <v>0</v>
      </c>
      <c r="Z2102">
        <v>0</v>
      </c>
      <c r="AA2102">
        <v>0</v>
      </c>
      <c r="AB2102" t="s">
        <v>4212</v>
      </c>
    </row>
    <row r="2103" spans="1:28" x14ac:dyDescent="0.25">
      <c r="H2103" t="s">
        <v>2219</v>
      </c>
    </row>
    <row r="2104" spans="1:28" x14ac:dyDescent="0.25">
      <c r="A2104">
        <v>1049</v>
      </c>
      <c r="B2104">
        <v>4208</v>
      </c>
      <c r="C2104" t="s">
        <v>4213</v>
      </c>
      <c r="D2104" t="s">
        <v>4214</v>
      </c>
      <c r="E2104" t="s">
        <v>1036</v>
      </c>
      <c r="F2104" t="s">
        <v>4215</v>
      </c>
      <c r="G2104" t="str">
        <f>"00295730"</f>
        <v>00295730</v>
      </c>
      <c r="H2104" t="s">
        <v>1841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50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>
        <v>0</v>
      </c>
      <c r="X2104">
        <v>0</v>
      </c>
      <c r="Y2104">
        <v>0</v>
      </c>
      <c r="Z2104">
        <v>0</v>
      </c>
      <c r="AA2104">
        <v>0</v>
      </c>
      <c r="AB2104" t="s">
        <v>4216</v>
      </c>
    </row>
    <row r="2105" spans="1:28" x14ac:dyDescent="0.25">
      <c r="H2105" t="s">
        <v>4217</v>
      </c>
    </row>
    <row r="2106" spans="1:28" x14ac:dyDescent="0.25">
      <c r="A2106">
        <v>1050</v>
      </c>
      <c r="B2106">
        <v>344</v>
      </c>
      <c r="C2106" t="s">
        <v>4218</v>
      </c>
      <c r="D2106" t="s">
        <v>869</v>
      </c>
      <c r="E2106" t="s">
        <v>4219</v>
      </c>
      <c r="F2106" t="s">
        <v>4220</v>
      </c>
      <c r="G2106" t="str">
        <f>"201404000034"</f>
        <v>201404000034</v>
      </c>
      <c r="H2106" t="s">
        <v>3720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30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X2106">
        <v>0</v>
      </c>
      <c r="Y2106">
        <v>0</v>
      </c>
      <c r="Z2106">
        <v>0</v>
      </c>
      <c r="AA2106">
        <v>0</v>
      </c>
      <c r="AB2106" t="s">
        <v>4221</v>
      </c>
    </row>
    <row r="2107" spans="1:28" x14ac:dyDescent="0.25">
      <c r="H2107" t="s">
        <v>2219</v>
      </c>
    </row>
    <row r="2108" spans="1:28" x14ac:dyDescent="0.25">
      <c r="A2108">
        <v>1051</v>
      </c>
      <c r="B2108">
        <v>1130</v>
      </c>
      <c r="C2108" t="s">
        <v>4222</v>
      </c>
      <c r="D2108" t="s">
        <v>39</v>
      </c>
      <c r="E2108" t="s">
        <v>14</v>
      </c>
      <c r="F2108" t="s">
        <v>4223</v>
      </c>
      <c r="G2108" t="str">
        <f>"00140092"</f>
        <v>00140092</v>
      </c>
      <c r="H2108" t="s">
        <v>2849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70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>
        <v>0</v>
      </c>
      <c r="X2108">
        <v>0</v>
      </c>
      <c r="Y2108">
        <v>0</v>
      </c>
      <c r="Z2108">
        <v>0</v>
      </c>
      <c r="AA2108">
        <v>0</v>
      </c>
      <c r="AB2108" t="s">
        <v>4224</v>
      </c>
    </row>
    <row r="2109" spans="1:28" x14ac:dyDescent="0.25">
      <c r="H2109" t="s">
        <v>4225</v>
      </c>
    </row>
    <row r="2110" spans="1:28" x14ac:dyDescent="0.25">
      <c r="A2110">
        <v>1052</v>
      </c>
      <c r="B2110">
        <v>1489</v>
      </c>
      <c r="C2110" t="s">
        <v>4226</v>
      </c>
      <c r="D2110" t="s">
        <v>187</v>
      </c>
      <c r="E2110" t="s">
        <v>14</v>
      </c>
      <c r="F2110" t="s">
        <v>4227</v>
      </c>
      <c r="G2110" t="str">
        <f>"00118814"</f>
        <v>00118814</v>
      </c>
      <c r="H2110" t="s">
        <v>2721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50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>
        <v>0</v>
      </c>
      <c r="X2110">
        <v>0</v>
      </c>
      <c r="Y2110">
        <v>0</v>
      </c>
      <c r="Z2110">
        <v>0</v>
      </c>
      <c r="AA2110">
        <v>0</v>
      </c>
      <c r="AB2110" t="s">
        <v>4228</v>
      </c>
    </row>
    <row r="2111" spans="1:28" x14ac:dyDescent="0.25">
      <c r="H2111" t="s">
        <v>4229</v>
      </c>
    </row>
    <row r="2112" spans="1:28" x14ac:dyDescent="0.25">
      <c r="A2112">
        <v>1053</v>
      </c>
      <c r="B2112">
        <v>4659</v>
      </c>
      <c r="C2112" t="s">
        <v>4230</v>
      </c>
      <c r="D2112" t="s">
        <v>26</v>
      </c>
      <c r="E2112" t="s">
        <v>4231</v>
      </c>
      <c r="F2112" t="s">
        <v>4232</v>
      </c>
      <c r="G2112" t="str">
        <f>"00226271"</f>
        <v>00226271</v>
      </c>
      <c r="H2112" t="s">
        <v>2273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30</v>
      </c>
      <c r="O2112">
        <v>0</v>
      </c>
      <c r="P2112">
        <v>0</v>
      </c>
      <c r="Q2112">
        <v>0</v>
      </c>
      <c r="R2112">
        <v>0</v>
      </c>
      <c r="S2112">
        <v>0</v>
      </c>
      <c r="T2112">
        <v>0</v>
      </c>
      <c r="U2112">
        <v>0</v>
      </c>
      <c r="V2112">
        <v>0</v>
      </c>
      <c r="X2112">
        <v>0</v>
      </c>
      <c r="Y2112">
        <v>0</v>
      </c>
      <c r="Z2112">
        <v>0</v>
      </c>
      <c r="AA2112">
        <v>0</v>
      </c>
      <c r="AB2112" t="s">
        <v>4233</v>
      </c>
    </row>
    <row r="2113" spans="1:28" x14ac:dyDescent="0.25">
      <c r="H2113" t="s">
        <v>4234</v>
      </c>
    </row>
    <row r="2114" spans="1:28" x14ac:dyDescent="0.25">
      <c r="A2114">
        <v>1054</v>
      </c>
      <c r="B2114">
        <v>1747</v>
      </c>
      <c r="C2114" t="s">
        <v>511</v>
      </c>
      <c r="D2114" t="s">
        <v>311</v>
      </c>
      <c r="E2114" t="s">
        <v>14</v>
      </c>
      <c r="F2114" t="s">
        <v>4235</v>
      </c>
      <c r="G2114" t="str">
        <f>"00324904"</f>
        <v>00324904</v>
      </c>
      <c r="H2114" t="s">
        <v>1132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50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>
        <v>0</v>
      </c>
      <c r="X2114">
        <v>0</v>
      </c>
      <c r="Y2114">
        <v>0</v>
      </c>
      <c r="Z2114">
        <v>0</v>
      </c>
      <c r="AA2114">
        <v>0</v>
      </c>
      <c r="AB2114" t="s">
        <v>4236</v>
      </c>
    </row>
    <row r="2115" spans="1:28" x14ac:dyDescent="0.25">
      <c r="H2115">
        <v>1009</v>
      </c>
    </row>
    <row r="2116" spans="1:28" x14ac:dyDescent="0.25">
      <c r="A2116">
        <v>1055</v>
      </c>
      <c r="B2116">
        <v>2712</v>
      </c>
      <c r="C2116" t="s">
        <v>4237</v>
      </c>
      <c r="D2116" t="s">
        <v>4238</v>
      </c>
      <c r="E2116" t="s">
        <v>14</v>
      </c>
      <c r="F2116" t="s">
        <v>4239</v>
      </c>
      <c r="G2116" t="str">
        <f>"00127391"</f>
        <v>00127391</v>
      </c>
      <c r="H2116" t="s">
        <v>4162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30</v>
      </c>
      <c r="O2116">
        <v>30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>
        <v>0</v>
      </c>
      <c r="X2116">
        <v>0</v>
      </c>
      <c r="Y2116">
        <v>0</v>
      </c>
      <c r="Z2116">
        <v>0</v>
      </c>
      <c r="AA2116">
        <v>0</v>
      </c>
      <c r="AB2116" t="s">
        <v>4240</v>
      </c>
    </row>
    <row r="2117" spans="1:28" x14ac:dyDescent="0.25">
      <c r="H2117">
        <v>1009</v>
      </c>
    </row>
    <row r="2118" spans="1:28" x14ac:dyDescent="0.25">
      <c r="A2118">
        <v>1056</v>
      </c>
      <c r="B2118">
        <v>5163</v>
      </c>
      <c r="C2118" t="s">
        <v>4241</v>
      </c>
      <c r="D2118" t="s">
        <v>1309</v>
      </c>
      <c r="E2118" t="s">
        <v>15</v>
      </c>
      <c r="F2118" t="s">
        <v>4242</v>
      </c>
      <c r="G2118" t="str">
        <f>"201410005864"</f>
        <v>201410005864</v>
      </c>
      <c r="H2118" t="s">
        <v>903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30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>
        <v>0</v>
      </c>
      <c r="X2118">
        <v>0</v>
      </c>
      <c r="Y2118">
        <v>0</v>
      </c>
      <c r="Z2118">
        <v>0</v>
      </c>
      <c r="AA2118">
        <v>0</v>
      </c>
      <c r="AB2118" t="s">
        <v>4243</v>
      </c>
    </row>
    <row r="2119" spans="1:28" x14ac:dyDescent="0.25">
      <c r="H2119" t="s">
        <v>4244</v>
      </c>
    </row>
    <row r="2120" spans="1:28" x14ac:dyDescent="0.25">
      <c r="A2120">
        <v>1057</v>
      </c>
      <c r="B2120">
        <v>786</v>
      </c>
      <c r="C2120" t="s">
        <v>4245</v>
      </c>
      <c r="D2120" t="s">
        <v>218</v>
      </c>
      <c r="E2120" t="s">
        <v>14</v>
      </c>
      <c r="F2120" t="s">
        <v>4246</v>
      </c>
      <c r="G2120" t="str">
        <f>"201406012066"</f>
        <v>201406012066</v>
      </c>
      <c r="H2120" t="s">
        <v>294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70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>
        <v>0</v>
      </c>
      <c r="X2120">
        <v>0</v>
      </c>
      <c r="Y2120">
        <v>0</v>
      </c>
      <c r="Z2120">
        <v>0</v>
      </c>
      <c r="AA2120">
        <v>0</v>
      </c>
      <c r="AB2120" t="s">
        <v>4247</v>
      </c>
    </row>
    <row r="2121" spans="1:28" x14ac:dyDescent="0.25">
      <c r="H2121" t="s">
        <v>4248</v>
      </c>
    </row>
    <row r="2122" spans="1:28" x14ac:dyDescent="0.25">
      <c r="A2122">
        <v>1058</v>
      </c>
      <c r="B2122">
        <v>2688</v>
      </c>
      <c r="C2122" t="s">
        <v>4249</v>
      </c>
      <c r="D2122" t="s">
        <v>519</v>
      </c>
      <c r="E2122" t="s">
        <v>20</v>
      </c>
      <c r="F2122" t="s">
        <v>4250</v>
      </c>
      <c r="G2122" t="str">
        <f>"201406014741"</f>
        <v>201406014741</v>
      </c>
      <c r="H2122" t="s">
        <v>2056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30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>
        <v>0</v>
      </c>
      <c r="X2122">
        <v>0</v>
      </c>
      <c r="Y2122">
        <v>0</v>
      </c>
      <c r="Z2122">
        <v>0</v>
      </c>
      <c r="AA2122">
        <v>0</v>
      </c>
      <c r="AB2122" t="s">
        <v>4251</v>
      </c>
    </row>
    <row r="2123" spans="1:28" x14ac:dyDescent="0.25">
      <c r="H2123" t="s">
        <v>4252</v>
      </c>
    </row>
    <row r="2124" spans="1:28" x14ac:dyDescent="0.25">
      <c r="A2124">
        <v>1059</v>
      </c>
      <c r="B2124">
        <v>1120</v>
      </c>
      <c r="C2124" t="s">
        <v>4253</v>
      </c>
      <c r="D2124" t="s">
        <v>117</v>
      </c>
      <c r="E2124" t="s">
        <v>14</v>
      </c>
      <c r="F2124" t="s">
        <v>4254</v>
      </c>
      <c r="G2124" t="str">
        <f>"00236574"</f>
        <v>00236574</v>
      </c>
      <c r="H2124" t="s">
        <v>3622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50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0</v>
      </c>
      <c r="X2124">
        <v>0</v>
      </c>
      <c r="Y2124">
        <v>0</v>
      </c>
      <c r="Z2124">
        <v>0</v>
      </c>
      <c r="AA2124">
        <v>0</v>
      </c>
      <c r="AB2124" t="s">
        <v>4255</v>
      </c>
    </row>
    <row r="2125" spans="1:28" x14ac:dyDescent="0.25">
      <c r="H2125">
        <v>1009</v>
      </c>
    </row>
    <row r="2126" spans="1:28" x14ac:dyDescent="0.25">
      <c r="A2126">
        <v>1060</v>
      </c>
      <c r="B2126">
        <v>1422</v>
      </c>
      <c r="C2126" t="s">
        <v>4256</v>
      </c>
      <c r="D2126" t="s">
        <v>117</v>
      </c>
      <c r="E2126" t="s">
        <v>4050</v>
      </c>
      <c r="F2126" t="s">
        <v>4257</v>
      </c>
      <c r="G2126" t="str">
        <f>"00117581"</f>
        <v>00117581</v>
      </c>
      <c r="H2126">
        <v>704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30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>
        <v>0</v>
      </c>
      <c r="X2126">
        <v>0</v>
      </c>
      <c r="Y2126">
        <v>0</v>
      </c>
      <c r="Z2126">
        <v>0</v>
      </c>
      <c r="AA2126">
        <v>0</v>
      </c>
      <c r="AB2126">
        <v>734</v>
      </c>
    </row>
    <row r="2127" spans="1:28" x14ac:dyDescent="0.25">
      <c r="H2127" t="s">
        <v>4258</v>
      </c>
    </row>
    <row r="2128" spans="1:28" x14ac:dyDescent="0.25">
      <c r="A2128">
        <v>1061</v>
      </c>
      <c r="B2128">
        <v>1897</v>
      </c>
      <c r="C2128" t="s">
        <v>4259</v>
      </c>
      <c r="D2128" t="s">
        <v>550</v>
      </c>
      <c r="E2128" t="s">
        <v>3995</v>
      </c>
      <c r="F2128" t="s">
        <v>4260</v>
      </c>
      <c r="G2128" t="str">
        <f>"201410001225"</f>
        <v>201410001225</v>
      </c>
      <c r="H2128">
        <v>704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30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>
        <v>0</v>
      </c>
      <c r="X2128">
        <v>0</v>
      </c>
      <c r="Y2128">
        <v>0</v>
      </c>
      <c r="Z2128">
        <v>0</v>
      </c>
      <c r="AA2128">
        <v>0</v>
      </c>
      <c r="AB2128">
        <v>734</v>
      </c>
    </row>
    <row r="2129" spans="1:28" x14ac:dyDescent="0.25">
      <c r="H2129" t="s">
        <v>4261</v>
      </c>
    </row>
    <row r="2130" spans="1:28" x14ac:dyDescent="0.25">
      <c r="A2130">
        <v>1062</v>
      </c>
      <c r="B2130">
        <v>4117</v>
      </c>
      <c r="C2130" t="s">
        <v>4262</v>
      </c>
      <c r="D2130" t="s">
        <v>51</v>
      </c>
      <c r="E2130" t="s">
        <v>20</v>
      </c>
      <c r="F2130" t="s">
        <v>4263</v>
      </c>
      <c r="G2130" t="str">
        <f>"00339903"</f>
        <v>00339903</v>
      </c>
      <c r="H2130" t="s">
        <v>1342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70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>
        <v>0</v>
      </c>
      <c r="X2130">
        <v>0</v>
      </c>
      <c r="Y2130">
        <v>0</v>
      </c>
      <c r="Z2130">
        <v>0</v>
      </c>
      <c r="AA2130">
        <v>0</v>
      </c>
      <c r="AB2130" t="s">
        <v>4264</v>
      </c>
    </row>
    <row r="2131" spans="1:28" x14ac:dyDescent="0.25">
      <c r="H2131" t="s">
        <v>152</v>
      </c>
    </row>
    <row r="2132" spans="1:28" x14ac:dyDescent="0.25">
      <c r="A2132">
        <v>1063</v>
      </c>
      <c r="B2132">
        <v>1275</v>
      </c>
      <c r="C2132" t="s">
        <v>4265</v>
      </c>
      <c r="D2132" t="s">
        <v>38</v>
      </c>
      <c r="E2132" t="s">
        <v>80</v>
      </c>
      <c r="F2132" t="s">
        <v>4266</v>
      </c>
      <c r="G2132" t="str">
        <f>"00242950"</f>
        <v>00242950</v>
      </c>
      <c r="H2132" t="s">
        <v>1342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70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0</v>
      </c>
      <c r="V2132">
        <v>0</v>
      </c>
      <c r="X2132">
        <v>0</v>
      </c>
      <c r="Y2132">
        <v>0</v>
      </c>
      <c r="Z2132">
        <v>0</v>
      </c>
      <c r="AA2132">
        <v>0</v>
      </c>
      <c r="AB2132" t="s">
        <v>4264</v>
      </c>
    </row>
    <row r="2133" spans="1:28" x14ac:dyDescent="0.25">
      <c r="H2133" t="s">
        <v>739</v>
      </c>
    </row>
    <row r="2134" spans="1:28" x14ac:dyDescent="0.25">
      <c r="A2134">
        <v>1064</v>
      </c>
      <c r="B2134">
        <v>2276</v>
      </c>
      <c r="C2134" t="s">
        <v>4267</v>
      </c>
      <c r="D2134" t="s">
        <v>26</v>
      </c>
      <c r="E2134" t="s">
        <v>51</v>
      </c>
      <c r="F2134" t="s">
        <v>4268</v>
      </c>
      <c r="G2134" t="str">
        <f>"201406011691"</f>
        <v>201406011691</v>
      </c>
      <c r="H2134" t="s">
        <v>2329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30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>
        <v>0</v>
      </c>
      <c r="X2134">
        <v>0</v>
      </c>
      <c r="Y2134">
        <v>0</v>
      </c>
      <c r="Z2134">
        <v>0</v>
      </c>
      <c r="AA2134">
        <v>0</v>
      </c>
      <c r="AB2134" t="s">
        <v>4269</v>
      </c>
    </row>
    <row r="2135" spans="1:28" x14ac:dyDescent="0.25">
      <c r="H2135">
        <v>1009</v>
      </c>
    </row>
    <row r="2136" spans="1:28" x14ac:dyDescent="0.25">
      <c r="A2136">
        <v>1065</v>
      </c>
      <c r="B2136">
        <v>356</v>
      </c>
      <c r="C2136" t="s">
        <v>4270</v>
      </c>
      <c r="D2136" t="s">
        <v>173</v>
      </c>
      <c r="E2136" t="s">
        <v>51</v>
      </c>
      <c r="F2136" t="s">
        <v>4271</v>
      </c>
      <c r="G2136" t="str">
        <f>"201412003819"</f>
        <v>201412003819</v>
      </c>
      <c r="H2136" t="s">
        <v>2184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70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>
        <v>0</v>
      </c>
      <c r="X2136">
        <v>0</v>
      </c>
      <c r="Y2136">
        <v>0</v>
      </c>
      <c r="Z2136">
        <v>0</v>
      </c>
      <c r="AA2136">
        <v>0</v>
      </c>
      <c r="AB2136" t="s">
        <v>4272</v>
      </c>
    </row>
    <row r="2137" spans="1:28" x14ac:dyDescent="0.25">
      <c r="H2137" t="s">
        <v>4273</v>
      </c>
    </row>
    <row r="2138" spans="1:28" x14ac:dyDescent="0.25">
      <c r="A2138">
        <v>1066</v>
      </c>
      <c r="B2138">
        <v>3162</v>
      </c>
      <c r="C2138" t="s">
        <v>4274</v>
      </c>
      <c r="D2138" t="s">
        <v>959</v>
      </c>
      <c r="E2138" t="s">
        <v>14</v>
      </c>
      <c r="F2138" t="s">
        <v>4275</v>
      </c>
      <c r="G2138" t="str">
        <f>"201402010306"</f>
        <v>201402010306</v>
      </c>
      <c r="H2138" t="s">
        <v>2342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30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>
        <v>0</v>
      </c>
      <c r="X2138">
        <v>0</v>
      </c>
      <c r="Y2138">
        <v>0</v>
      </c>
      <c r="Z2138">
        <v>0</v>
      </c>
      <c r="AA2138">
        <v>0</v>
      </c>
      <c r="AB2138" t="s">
        <v>4276</v>
      </c>
    </row>
    <row r="2139" spans="1:28" x14ac:dyDescent="0.25">
      <c r="H2139" t="s">
        <v>427</v>
      </c>
    </row>
    <row r="2140" spans="1:28" x14ac:dyDescent="0.25">
      <c r="A2140">
        <v>1067</v>
      </c>
      <c r="B2140">
        <v>1837</v>
      </c>
      <c r="C2140" t="s">
        <v>4277</v>
      </c>
      <c r="D2140" t="s">
        <v>43</v>
      </c>
      <c r="E2140" t="s">
        <v>51</v>
      </c>
      <c r="F2140" t="s">
        <v>4278</v>
      </c>
      <c r="G2140" t="str">
        <f>"201511020939"</f>
        <v>201511020939</v>
      </c>
      <c r="H2140" t="s">
        <v>1697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30</v>
      </c>
      <c r="O2140">
        <v>0</v>
      </c>
      <c r="P2140">
        <v>0</v>
      </c>
      <c r="Q2140">
        <v>0</v>
      </c>
      <c r="R2140">
        <v>0</v>
      </c>
      <c r="S2140">
        <v>0</v>
      </c>
      <c r="T2140">
        <v>0</v>
      </c>
      <c r="U2140">
        <v>0</v>
      </c>
      <c r="V2140">
        <v>0</v>
      </c>
      <c r="X2140">
        <v>0</v>
      </c>
      <c r="Y2140">
        <v>0</v>
      </c>
      <c r="Z2140">
        <v>0</v>
      </c>
      <c r="AA2140">
        <v>0</v>
      </c>
      <c r="AB2140" t="s">
        <v>4279</v>
      </c>
    </row>
    <row r="2141" spans="1:28" x14ac:dyDescent="0.25">
      <c r="H2141" t="s">
        <v>205</v>
      </c>
    </row>
    <row r="2142" spans="1:28" x14ac:dyDescent="0.25">
      <c r="A2142">
        <v>1068</v>
      </c>
      <c r="B2142">
        <v>1776</v>
      </c>
      <c r="C2142" t="s">
        <v>4280</v>
      </c>
      <c r="D2142" t="s">
        <v>98</v>
      </c>
      <c r="E2142" t="s">
        <v>4281</v>
      </c>
      <c r="F2142" t="s">
        <v>4282</v>
      </c>
      <c r="G2142" t="str">
        <f>"00276871"</f>
        <v>00276871</v>
      </c>
      <c r="H2142" t="s">
        <v>377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0</v>
      </c>
      <c r="S2142">
        <v>0</v>
      </c>
      <c r="T2142">
        <v>0</v>
      </c>
      <c r="U2142">
        <v>0</v>
      </c>
      <c r="V2142">
        <v>0</v>
      </c>
      <c r="X2142">
        <v>0</v>
      </c>
      <c r="Y2142">
        <v>0</v>
      </c>
      <c r="Z2142">
        <v>0</v>
      </c>
      <c r="AA2142">
        <v>0</v>
      </c>
      <c r="AB2142" t="s">
        <v>4283</v>
      </c>
    </row>
    <row r="2143" spans="1:28" x14ac:dyDescent="0.25">
      <c r="H2143">
        <v>1009</v>
      </c>
    </row>
    <row r="2144" spans="1:28" x14ac:dyDescent="0.25">
      <c r="A2144">
        <v>1069</v>
      </c>
      <c r="B2144">
        <v>4069</v>
      </c>
      <c r="C2144" t="s">
        <v>4284</v>
      </c>
      <c r="D2144" t="s">
        <v>955</v>
      </c>
      <c r="E2144" t="s">
        <v>14</v>
      </c>
      <c r="F2144" t="s">
        <v>4285</v>
      </c>
      <c r="G2144" t="str">
        <f>"00359413"</f>
        <v>00359413</v>
      </c>
      <c r="H2144" t="s">
        <v>377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30</v>
      </c>
      <c r="O2144">
        <v>0</v>
      </c>
      <c r="P2144">
        <v>0</v>
      </c>
      <c r="Q2144">
        <v>0</v>
      </c>
      <c r="R2144">
        <v>0</v>
      </c>
      <c r="S2144">
        <v>0</v>
      </c>
      <c r="T2144">
        <v>0</v>
      </c>
      <c r="U2144">
        <v>0</v>
      </c>
      <c r="V2144">
        <v>0</v>
      </c>
      <c r="X2144">
        <v>0</v>
      </c>
      <c r="Y2144">
        <v>0</v>
      </c>
      <c r="Z2144">
        <v>0</v>
      </c>
      <c r="AA2144">
        <v>0</v>
      </c>
      <c r="AB2144" t="s">
        <v>4283</v>
      </c>
    </row>
    <row r="2145" spans="1:28" x14ac:dyDescent="0.25">
      <c r="H2145" t="s">
        <v>4286</v>
      </c>
    </row>
    <row r="2146" spans="1:28" x14ac:dyDescent="0.25">
      <c r="A2146">
        <v>1070</v>
      </c>
      <c r="B2146">
        <v>4644</v>
      </c>
      <c r="C2146" t="s">
        <v>2039</v>
      </c>
      <c r="D2146" t="s">
        <v>758</v>
      </c>
      <c r="E2146" t="s">
        <v>20</v>
      </c>
      <c r="F2146" t="s">
        <v>4287</v>
      </c>
      <c r="G2146" t="str">
        <f>"00126339"</f>
        <v>00126339</v>
      </c>
      <c r="H2146" t="s">
        <v>377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30</v>
      </c>
      <c r="O2146">
        <v>0</v>
      </c>
      <c r="P2146">
        <v>0</v>
      </c>
      <c r="Q2146">
        <v>0</v>
      </c>
      <c r="R2146">
        <v>0</v>
      </c>
      <c r="S2146">
        <v>0</v>
      </c>
      <c r="T2146">
        <v>0</v>
      </c>
      <c r="U2146">
        <v>0</v>
      </c>
      <c r="V2146">
        <v>0</v>
      </c>
      <c r="X2146">
        <v>0</v>
      </c>
      <c r="Y2146">
        <v>0</v>
      </c>
      <c r="Z2146">
        <v>0</v>
      </c>
      <c r="AA2146">
        <v>0</v>
      </c>
      <c r="AB2146" t="s">
        <v>4283</v>
      </c>
    </row>
    <row r="2147" spans="1:28" x14ac:dyDescent="0.25">
      <c r="H2147" t="s">
        <v>4288</v>
      </c>
    </row>
    <row r="2148" spans="1:28" x14ac:dyDescent="0.25">
      <c r="A2148">
        <v>1071</v>
      </c>
      <c r="B2148">
        <v>1013</v>
      </c>
      <c r="C2148" t="s">
        <v>4289</v>
      </c>
      <c r="D2148" t="s">
        <v>1530</v>
      </c>
      <c r="E2148" t="s">
        <v>14</v>
      </c>
      <c r="F2148" t="s">
        <v>4290</v>
      </c>
      <c r="G2148" t="str">
        <f>"00231147"</f>
        <v>00231147</v>
      </c>
      <c r="H2148" t="s">
        <v>377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30</v>
      </c>
      <c r="O2148">
        <v>0</v>
      </c>
      <c r="P2148">
        <v>0</v>
      </c>
      <c r="Q2148">
        <v>0</v>
      </c>
      <c r="R2148">
        <v>0</v>
      </c>
      <c r="S2148">
        <v>0</v>
      </c>
      <c r="T2148">
        <v>0</v>
      </c>
      <c r="U2148">
        <v>0</v>
      </c>
      <c r="V2148">
        <v>0</v>
      </c>
      <c r="X2148">
        <v>0</v>
      </c>
      <c r="Y2148">
        <v>0</v>
      </c>
      <c r="Z2148">
        <v>0</v>
      </c>
      <c r="AA2148">
        <v>0</v>
      </c>
      <c r="AB2148" t="s">
        <v>4283</v>
      </c>
    </row>
    <row r="2149" spans="1:28" x14ac:dyDescent="0.25">
      <c r="H2149">
        <v>1009</v>
      </c>
    </row>
    <row r="2150" spans="1:28" x14ac:dyDescent="0.25">
      <c r="A2150">
        <v>1072</v>
      </c>
      <c r="B2150">
        <v>351</v>
      </c>
      <c r="C2150" t="s">
        <v>619</v>
      </c>
      <c r="D2150" t="s">
        <v>350</v>
      </c>
      <c r="E2150" t="s">
        <v>44</v>
      </c>
      <c r="F2150" t="s">
        <v>4291</v>
      </c>
      <c r="G2150" t="str">
        <f>"00235230"</f>
        <v>00235230</v>
      </c>
      <c r="H2150" t="s">
        <v>2849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30</v>
      </c>
      <c r="O2150">
        <v>0</v>
      </c>
      <c r="P2150">
        <v>30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0</v>
      </c>
      <c r="X2150">
        <v>0</v>
      </c>
      <c r="Y2150">
        <v>0</v>
      </c>
      <c r="Z2150">
        <v>0</v>
      </c>
      <c r="AA2150">
        <v>0</v>
      </c>
      <c r="AB2150" t="s">
        <v>4292</v>
      </c>
    </row>
    <row r="2151" spans="1:28" x14ac:dyDescent="0.25">
      <c r="H2151" t="s">
        <v>4293</v>
      </c>
    </row>
    <row r="2152" spans="1:28" x14ac:dyDescent="0.25">
      <c r="A2152">
        <v>1073</v>
      </c>
      <c r="B2152">
        <v>3247</v>
      </c>
      <c r="C2152" t="s">
        <v>4294</v>
      </c>
      <c r="D2152" t="s">
        <v>155</v>
      </c>
      <c r="E2152" t="s">
        <v>417</v>
      </c>
      <c r="F2152" t="s">
        <v>4295</v>
      </c>
      <c r="G2152" t="str">
        <f>"201406009075"</f>
        <v>201406009075</v>
      </c>
      <c r="H2152" t="s">
        <v>1202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50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0</v>
      </c>
      <c r="X2152">
        <v>0</v>
      </c>
      <c r="Y2152">
        <v>0</v>
      </c>
      <c r="Z2152">
        <v>0</v>
      </c>
      <c r="AA2152">
        <v>0</v>
      </c>
      <c r="AB2152" t="s">
        <v>4296</v>
      </c>
    </row>
    <row r="2153" spans="1:28" x14ac:dyDescent="0.25">
      <c r="H2153" t="s">
        <v>4297</v>
      </c>
    </row>
    <row r="2154" spans="1:28" x14ac:dyDescent="0.25">
      <c r="A2154">
        <v>1074</v>
      </c>
      <c r="B2154">
        <v>144</v>
      </c>
      <c r="C2154" t="s">
        <v>4298</v>
      </c>
      <c r="D2154" t="s">
        <v>277</v>
      </c>
      <c r="E2154" t="s">
        <v>51</v>
      </c>
      <c r="F2154" t="s">
        <v>4299</v>
      </c>
      <c r="G2154" t="str">
        <f>"201602000274"</f>
        <v>201602000274</v>
      </c>
      <c r="H2154" t="s">
        <v>2857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30</v>
      </c>
      <c r="O2154">
        <v>0</v>
      </c>
      <c r="P2154">
        <v>0</v>
      </c>
      <c r="Q2154">
        <v>0</v>
      </c>
      <c r="R2154">
        <v>0</v>
      </c>
      <c r="S2154">
        <v>0</v>
      </c>
      <c r="T2154">
        <v>0</v>
      </c>
      <c r="U2154">
        <v>0</v>
      </c>
      <c r="V2154">
        <v>0</v>
      </c>
      <c r="X2154">
        <v>0</v>
      </c>
      <c r="Y2154">
        <v>0</v>
      </c>
      <c r="Z2154">
        <v>0</v>
      </c>
      <c r="AA2154">
        <v>0</v>
      </c>
      <c r="AB2154" t="s">
        <v>4300</v>
      </c>
    </row>
    <row r="2155" spans="1:28" x14ac:dyDescent="0.25">
      <c r="H2155" t="s">
        <v>4301</v>
      </c>
    </row>
    <row r="2156" spans="1:28" x14ac:dyDescent="0.25">
      <c r="A2156">
        <v>1075</v>
      </c>
      <c r="B2156">
        <v>3818</v>
      </c>
      <c r="C2156" t="s">
        <v>2098</v>
      </c>
      <c r="D2156" t="s">
        <v>138</v>
      </c>
      <c r="E2156" t="s">
        <v>20</v>
      </c>
      <c r="F2156" t="s">
        <v>4302</v>
      </c>
      <c r="G2156" t="str">
        <f>"00076133"</f>
        <v>00076133</v>
      </c>
      <c r="H2156" t="s">
        <v>2857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30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>
        <v>0</v>
      </c>
      <c r="X2156">
        <v>0</v>
      </c>
      <c r="Y2156">
        <v>0</v>
      </c>
      <c r="Z2156">
        <v>0</v>
      </c>
      <c r="AA2156">
        <v>0</v>
      </c>
      <c r="AB2156" t="s">
        <v>4300</v>
      </c>
    </row>
    <row r="2157" spans="1:28" x14ac:dyDescent="0.25">
      <c r="H2157" t="s">
        <v>4303</v>
      </c>
    </row>
    <row r="2158" spans="1:28" x14ac:dyDescent="0.25">
      <c r="A2158">
        <v>1076</v>
      </c>
      <c r="B2158">
        <v>3460</v>
      </c>
      <c r="C2158" t="s">
        <v>4304</v>
      </c>
      <c r="D2158" t="s">
        <v>387</v>
      </c>
      <c r="E2158" t="s">
        <v>38</v>
      </c>
      <c r="F2158" t="s">
        <v>4305</v>
      </c>
      <c r="G2158" t="str">
        <f>"00243024"</f>
        <v>00243024</v>
      </c>
      <c r="H2158" t="s">
        <v>2221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30</v>
      </c>
      <c r="O2158">
        <v>0</v>
      </c>
      <c r="P2158">
        <v>30</v>
      </c>
      <c r="Q2158">
        <v>0</v>
      </c>
      <c r="R2158">
        <v>0</v>
      </c>
      <c r="S2158">
        <v>0</v>
      </c>
      <c r="T2158">
        <v>0</v>
      </c>
      <c r="U2158">
        <v>0</v>
      </c>
      <c r="V2158">
        <v>0</v>
      </c>
      <c r="X2158">
        <v>0</v>
      </c>
      <c r="Y2158">
        <v>0</v>
      </c>
      <c r="Z2158">
        <v>0</v>
      </c>
      <c r="AA2158">
        <v>0</v>
      </c>
      <c r="AB2158" t="s">
        <v>4306</v>
      </c>
    </row>
    <row r="2159" spans="1:28" x14ac:dyDescent="0.25">
      <c r="H2159" t="s">
        <v>4307</v>
      </c>
    </row>
    <row r="2160" spans="1:28" x14ac:dyDescent="0.25">
      <c r="A2160">
        <v>1077</v>
      </c>
      <c r="B2160">
        <v>1700</v>
      </c>
      <c r="C2160" t="s">
        <v>281</v>
      </c>
      <c r="D2160" t="s">
        <v>4308</v>
      </c>
      <c r="E2160" t="s">
        <v>4309</v>
      </c>
      <c r="F2160" t="s">
        <v>4310</v>
      </c>
      <c r="G2160" t="str">
        <f>"00176556"</f>
        <v>00176556</v>
      </c>
      <c r="H2160" t="s">
        <v>3120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>
        <v>0</v>
      </c>
      <c r="X2160">
        <v>0</v>
      </c>
      <c r="Y2160">
        <v>0</v>
      </c>
      <c r="Z2160">
        <v>0</v>
      </c>
      <c r="AA2160">
        <v>0</v>
      </c>
      <c r="AB2160" t="s">
        <v>4311</v>
      </c>
    </row>
    <row r="2161" spans="1:28" x14ac:dyDescent="0.25">
      <c r="H2161" t="s">
        <v>2219</v>
      </c>
    </row>
    <row r="2162" spans="1:28" x14ac:dyDescent="0.25">
      <c r="A2162">
        <v>1078</v>
      </c>
      <c r="B2162">
        <v>3217</v>
      </c>
      <c r="C2162" t="s">
        <v>4312</v>
      </c>
      <c r="D2162" t="s">
        <v>4313</v>
      </c>
      <c r="E2162" t="s">
        <v>51</v>
      </c>
      <c r="F2162" t="s">
        <v>4314</v>
      </c>
      <c r="G2162" t="str">
        <f>"201406013761"</f>
        <v>201406013761</v>
      </c>
      <c r="H2162" t="s">
        <v>865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30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0</v>
      </c>
      <c r="X2162">
        <v>0</v>
      </c>
      <c r="Y2162">
        <v>0</v>
      </c>
      <c r="Z2162">
        <v>0</v>
      </c>
      <c r="AA2162">
        <v>0</v>
      </c>
      <c r="AB2162" t="s">
        <v>4315</v>
      </c>
    </row>
    <row r="2163" spans="1:28" x14ac:dyDescent="0.25">
      <c r="H2163" t="s">
        <v>4316</v>
      </c>
    </row>
    <row r="2164" spans="1:28" x14ac:dyDescent="0.25">
      <c r="A2164">
        <v>1079</v>
      </c>
      <c r="B2164">
        <v>954</v>
      </c>
      <c r="C2164" t="s">
        <v>4317</v>
      </c>
      <c r="D2164" t="s">
        <v>4318</v>
      </c>
      <c r="E2164" t="s">
        <v>20</v>
      </c>
      <c r="F2164" t="s">
        <v>4319</v>
      </c>
      <c r="G2164" t="str">
        <f>"00192764"</f>
        <v>00192764</v>
      </c>
      <c r="H2164" t="s">
        <v>865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30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>
        <v>0</v>
      </c>
      <c r="X2164">
        <v>0</v>
      </c>
      <c r="Y2164">
        <v>0</v>
      </c>
      <c r="Z2164">
        <v>0</v>
      </c>
      <c r="AA2164">
        <v>0</v>
      </c>
      <c r="AB2164" t="s">
        <v>4315</v>
      </c>
    </row>
    <row r="2165" spans="1:28" x14ac:dyDescent="0.25">
      <c r="H2165" t="s">
        <v>4196</v>
      </c>
    </row>
    <row r="2166" spans="1:28" x14ac:dyDescent="0.25">
      <c r="A2166">
        <v>1080</v>
      </c>
      <c r="B2166">
        <v>2622</v>
      </c>
      <c r="C2166" t="s">
        <v>4320</v>
      </c>
      <c r="D2166" t="s">
        <v>38</v>
      </c>
      <c r="E2166" t="s">
        <v>155</v>
      </c>
      <c r="F2166" t="s">
        <v>4321</v>
      </c>
      <c r="G2166" t="str">
        <f>"00242706"</f>
        <v>00242706</v>
      </c>
      <c r="H2166" t="s">
        <v>865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30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>
        <v>0</v>
      </c>
      <c r="X2166">
        <v>0</v>
      </c>
      <c r="Y2166">
        <v>0</v>
      </c>
      <c r="Z2166">
        <v>0</v>
      </c>
      <c r="AA2166">
        <v>0</v>
      </c>
      <c r="AB2166" t="s">
        <v>4315</v>
      </c>
    </row>
    <row r="2167" spans="1:28" x14ac:dyDescent="0.25">
      <c r="H2167" t="s">
        <v>4322</v>
      </c>
    </row>
    <row r="2168" spans="1:28" x14ac:dyDescent="0.25">
      <c r="A2168">
        <v>1081</v>
      </c>
      <c r="B2168">
        <v>3843</v>
      </c>
      <c r="C2168" t="s">
        <v>4323</v>
      </c>
      <c r="D2168" t="s">
        <v>260</v>
      </c>
      <c r="E2168" t="s">
        <v>51</v>
      </c>
      <c r="F2168" t="s">
        <v>4324</v>
      </c>
      <c r="G2168" t="str">
        <f>"00236651"</f>
        <v>00236651</v>
      </c>
      <c r="H2168" t="s">
        <v>2296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70</v>
      </c>
      <c r="O2168">
        <v>0</v>
      </c>
      <c r="P2168">
        <v>0</v>
      </c>
      <c r="Q2168">
        <v>0</v>
      </c>
      <c r="R2168">
        <v>0</v>
      </c>
      <c r="S2168">
        <v>0</v>
      </c>
      <c r="T2168">
        <v>0</v>
      </c>
      <c r="U2168">
        <v>0</v>
      </c>
      <c r="V2168">
        <v>0</v>
      </c>
      <c r="X2168">
        <v>0</v>
      </c>
      <c r="Y2168">
        <v>0</v>
      </c>
      <c r="Z2168">
        <v>0</v>
      </c>
      <c r="AA2168">
        <v>0</v>
      </c>
      <c r="AB2168" t="s">
        <v>4325</v>
      </c>
    </row>
    <row r="2169" spans="1:28" x14ac:dyDescent="0.25">
      <c r="H2169" t="s">
        <v>4326</v>
      </c>
    </row>
    <row r="2170" spans="1:28" x14ac:dyDescent="0.25">
      <c r="A2170">
        <v>1082</v>
      </c>
      <c r="B2170">
        <v>3829</v>
      </c>
      <c r="C2170" t="s">
        <v>4327</v>
      </c>
      <c r="D2170" t="s">
        <v>4328</v>
      </c>
      <c r="E2170" t="s">
        <v>2432</v>
      </c>
      <c r="F2170" t="s">
        <v>4329</v>
      </c>
      <c r="G2170" t="str">
        <f>"00212006"</f>
        <v>00212006</v>
      </c>
      <c r="H2170" t="s">
        <v>294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30</v>
      </c>
      <c r="O2170">
        <v>30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0</v>
      </c>
      <c r="X2170">
        <v>0</v>
      </c>
      <c r="Y2170">
        <v>0</v>
      </c>
      <c r="Z2170">
        <v>0</v>
      </c>
      <c r="AA2170">
        <v>0</v>
      </c>
      <c r="AB2170" t="s">
        <v>4330</v>
      </c>
    </row>
    <row r="2171" spans="1:28" x14ac:dyDescent="0.25">
      <c r="H2171" t="s">
        <v>4331</v>
      </c>
    </row>
    <row r="2172" spans="1:28" x14ac:dyDescent="0.25">
      <c r="A2172">
        <v>1083</v>
      </c>
      <c r="B2172">
        <v>3222</v>
      </c>
      <c r="C2172" t="s">
        <v>4332</v>
      </c>
      <c r="D2172" t="s">
        <v>4333</v>
      </c>
      <c r="E2172" t="s">
        <v>4334</v>
      </c>
      <c r="F2172" t="s">
        <v>4335</v>
      </c>
      <c r="G2172" t="str">
        <f>"00137604"</f>
        <v>00137604</v>
      </c>
      <c r="H2172" t="s">
        <v>2752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30</v>
      </c>
      <c r="O2172">
        <v>50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>
        <v>0</v>
      </c>
      <c r="X2172">
        <v>0</v>
      </c>
      <c r="Y2172">
        <v>0</v>
      </c>
      <c r="Z2172">
        <v>0</v>
      </c>
      <c r="AA2172">
        <v>0</v>
      </c>
      <c r="AB2172" t="s">
        <v>4336</v>
      </c>
    </row>
    <row r="2173" spans="1:28" x14ac:dyDescent="0.25">
      <c r="H2173" t="s">
        <v>4337</v>
      </c>
    </row>
    <row r="2174" spans="1:28" x14ac:dyDescent="0.25">
      <c r="A2174">
        <v>1084</v>
      </c>
      <c r="B2174">
        <v>2502</v>
      </c>
      <c r="C2174" t="s">
        <v>4338</v>
      </c>
      <c r="D2174" t="s">
        <v>38</v>
      </c>
      <c r="E2174" t="s">
        <v>20</v>
      </c>
      <c r="F2174" t="s">
        <v>4339</v>
      </c>
      <c r="G2174" t="str">
        <f>"00014366"</f>
        <v>00014366</v>
      </c>
      <c r="H2174" t="s">
        <v>2394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30</v>
      </c>
      <c r="O2174">
        <v>0</v>
      </c>
      <c r="P2174">
        <v>0</v>
      </c>
      <c r="Q2174">
        <v>0</v>
      </c>
      <c r="R2174">
        <v>30</v>
      </c>
      <c r="S2174">
        <v>0</v>
      </c>
      <c r="T2174">
        <v>0</v>
      </c>
      <c r="U2174">
        <v>0</v>
      </c>
      <c r="V2174">
        <v>0</v>
      </c>
      <c r="X2174">
        <v>0</v>
      </c>
      <c r="Y2174">
        <v>0</v>
      </c>
      <c r="Z2174">
        <v>0</v>
      </c>
      <c r="AA2174">
        <v>0</v>
      </c>
      <c r="AB2174" t="s">
        <v>4340</v>
      </c>
    </row>
    <row r="2175" spans="1:28" x14ac:dyDescent="0.25">
      <c r="H2175" t="s">
        <v>4341</v>
      </c>
    </row>
    <row r="2176" spans="1:28" x14ac:dyDescent="0.25">
      <c r="A2176">
        <v>1085</v>
      </c>
      <c r="B2176">
        <v>2424</v>
      </c>
      <c r="C2176" t="s">
        <v>4342</v>
      </c>
      <c r="D2176" t="s">
        <v>471</v>
      </c>
      <c r="E2176" t="s">
        <v>154</v>
      </c>
      <c r="F2176" t="s">
        <v>4343</v>
      </c>
      <c r="G2176" t="str">
        <f>"201304005132"</f>
        <v>201304005132</v>
      </c>
      <c r="H2176" t="s">
        <v>2071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50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>
        <v>0</v>
      </c>
      <c r="X2176">
        <v>0</v>
      </c>
      <c r="Y2176">
        <v>0</v>
      </c>
      <c r="Z2176">
        <v>0</v>
      </c>
      <c r="AA2176">
        <v>0</v>
      </c>
      <c r="AB2176" t="s">
        <v>4344</v>
      </c>
    </row>
    <row r="2177" spans="1:28" x14ac:dyDescent="0.25">
      <c r="H2177" t="s">
        <v>4345</v>
      </c>
    </row>
    <row r="2178" spans="1:28" x14ac:dyDescent="0.25">
      <c r="A2178">
        <v>1086</v>
      </c>
      <c r="B2178">
        <v>692</v>
      </c>
      <c r="C2178" t="s">
        <v>4346</v>
      </c>
      <c r="D2178" t="s">
        <v>230</v>
      </c>
      <c r="E2178" t="s">
        <v>38</v>
      </c>
      <c r="F2178" t="s">
        <v>4347</v>
      </c>
      <c r="G2178" t="str">
        <f>"00035067"</f>
        <v>00035067</v>
      </c>
      <c r="H2178" t="s">
        <v>2554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30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0</v>
      </c>
      <c r="X2178">
        <v>0</v>
      </c>
      <c r="Y2178">
        <v>0</v>
      </c>
      <c r="Z2178">
        <v>0</v>
      </c>
      <c r="AA2178">
        <v>0</v>
      </c>
      <c r="AB2178" t="s">
        <v>4348</v>
      </c>
    </row>
    <row r="2179" spans="1:28" x14ac:dyDescent="0.25">
      <c r="H2179" t="s">
        <v>4349</v>
      </c>
    </row>
    <row r="2180" spans="1:28" x14ac:dyDescent="0.25">
      <c r="A2180">
        <v>1087</v>
      </c>
      <c r="B2180">
        <v>4650</v>
      </c>
      <c r="C2180" t="s">
        <v>4350</v>
      </c>
      <c r="D2180" t="s">
        <v>265</v>
      </c>
      <c r="E2180" t="s">
        <v>15</v>
      </c>
      <c r="F2180" t="s">
        <v>4351</v>
      </c>
      <c r="G2180" t="str">
        <f>"00241970"</f>
        <v>00241970</v>
      </c>
      <c r="H2180" t="s">
        <v>2554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30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0</v>
      </c>
      <c r="X2180">
        <v>0</v>
      </c>
      <c r="Y2180">
        <v>0</v>
      </c>
      <c r="Z2180">
        <v>0</v>
      </c>
      <c r="AA2180">
        <v>0</v>
      </c>
      <c r="AB2180" t="s">
        <v>4348</v>
      </c>
    </row>
    <row r="2181" spans="1:28" x14ac:dyDescent="0.25">
      <c r="H2181" t="s">
        <v>4352</v>
      </c>
    </row>
    <row r="2182" spans="1:28" x14ac:dyDescent="0.25">
      <c r="A2182">
        <v>1088</v>
      </c>
      <c r="B2182">
        <v>4216</v>
      </c>
      <c r="C2182" t="s">
        <v>42</v>
      </c>
      <c r="D2182" t="s">
        <v>3255</v>
      </c>
      <c r="E2182" t="s">
        <v>14</v>
      </c>
      <c r="F2182" t="s">
        <v>4353</v>
      </c>
      <c r="G2182" t="str">
        <f>"00076066"</f>
        <v>00076066</v>
      </c>
      <c r="H2182" t="s">
        <v>2554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30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0</v>
      </c>
      <c r="X2182">
        <v>0</v>
      </c>
      <c r="Y2182">
        <v>0</v>
      </c>
      <c r="Z2182">
        <v>0</v>
      </c>
      <c r="AA2182">
        <v>0</v>
      </c>
      <c r="AB2182" t="s">
        <v>4348</v>
      </c>
    </row>
    <row r="2183" spans="1:28" x14ac:dyDescent="0.25">
      <c r="H2183" t="s">
        <v>575</v>
      </c>
    </row>
    <row r="2184" spans="1:28" x14ac:dyDescent="0.25">
      <c r="A2184">
        <v>1089</v>
      </c>
      <c r="B2184">
        <v>1488</v>
      </c>
      <c r="C2184" t="s">
        <v>2403</v>
      </c>
      <c r="D2184" t="s">
        <v>350</v>
      </c>
      <c r="E2184" t="s">
        <v>39</v>
      </c>
      <c r="F2184" t="s">
        <v>4354</v>
      </c>
      <c r="G2184" t="str">
        <f>"201504000250"</f>
        <v>201504000250</v>
      </c>
      <c r="H2184">
        <v>693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30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>
        <v>0</v>
      </c>
      <c r="X2184">
        <v>0</v>
      </c>
      <c r="Y2184">
        <v>0</v>
      </c>
      <c r="Z2184">
        <v>0</v>
      </c>
      <c r="AA2184">
        <v>0</v>
      </c>
      <c r="AB2184">
        <v>723</v>
      </c>
    </row>
    <row r="2185" spans="1:28" x14ac:dyDescent="0.25">
      <c r="H2185" t="s">
        <v>4355</v>
      </c>
    </row>
    <row r="2186" spans="1:28" x14ac:dyDescent="0.25">
      <c r="A2186">
        <v>1090</v>
      </c>
      <c r="B2186">
        <v>3726</v>
      </c>
      <c r="C2186" t="s">
        <v>4356</v>
      </c>
      <c r="D2186" t="s">
        <v>80</v>
      </c>
      <c r="E2186" t="s">
        <v>50</v>
      </c>
      <c r="F2186" t="s">
        <v>4357</v>
      </c>
      <c r="G2186" t="str">
        <f>"00102850"</f>
        <v>00102850</v>
      </c>
      <c r="H2186">
        <v>693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>
        <v>0</v>
      </c>
      <c r="X2186">
        <v>0</v>
      </c>
      <c r="Y2186">
        <v>0</v>
      </c>
      <c r="Z2186">
        <v>0</v>
      </c>
      <c r="AA2186">
        <v>0</v>
      </c>
      <c r="AB2186">
        <v>723</v>
      </c>
    </row>
    <row r="2187" spans="1:28" x14ac:dyDescent="0.25">
      <c r="H2187" t="s">
        <v>3834</v>
      </c>
    </row>
    <row r="2188" spans="1:28" x14ac:dyDescent="0.25">
      <c r="A2188">
        <v>1091</v>
      </c>
      <c r="B2188">
        <v>5168</v>
      </c>
      <c r="C2188" t="s">
        <v>4358</v>
      </c>
      <c r="D2188" t="s">
        <v>277</v>
      </c>
      <c r="E2188" t="s">
        <v>2065</v>
      </c>
      <c r="F2188" t="s">
        <v>4359</v>
      </c>
      <c r="G2188" t="str">
        <f>"201410010677"</f>
        <v>201410010677</v>
      </c>
      <c r="H2188">
        <v>693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30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>
        <v>0</v>
      </c>
      <c r="X2188">
        <v>0</v>
      </c>
      <c r="Y2188">
        <v>0</v>
      </c>
      <c r="Z2188">
        <v>0</v>
      </c>
      <c r="AA2188">
        <v>0</v>
      </c>
      <c r="AB2188">
        <v>723</v>
      </c>
    </row>
    <row r="2189" spans="1:28" x14ac:dyDescent="0.25">
      <c r="H2189" t="s">
        <v>4180</v>
      </c>
    </row>
    <row r="2190" spans="1:28" x14ac:dyDescent="0.25">
      <c r="A2190">
        <v>1092</v>
      </c>
      <c r="B2190">
        <v>3342</v>
      </c>
      <c r="C2190" t="s">
        <v>4360</v>
      </c>
      <c r="D2190" t="s">
        <v>51</v>
      </c>
      <c r="E2190" t="s">
        <v>4361</v>
      </c>
      <c r="F2190" t="s">
        <v>4362</v>
      </c>
      <c r="G2190" t="str">
        <f>"00226004"</f>
        <v>00226004</v>
      </c>
      <c r="H2190">
        <v>693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0</v>
      </c>
      <c r="X2190">
        <v>0</v>
      </c>
      <c r="Y2190">
        <v>0</v>
      </c>
      <c r="Z2190">
        <v>0</v>
      </c>
      <c r="AA2190">
        <v>0</v>
      </c>
      <c r="AB2190">
        <v>723</v>
      </c>
    </row>
    <row r="2191" spans="1:28" x14ac:dyDescent="0.25">
      <c r="H2191" t="s">
        <v>4363</v>
      </c>
    </row>
    <row r="2192" spans="1:28" x14ac:dyDescent="0.25">
      <c r="A2192">
        <v>1093</v>
      </c>
      <c r="B2192">
        <v>1237</v>
      </c>
      <c r="C2192" t="s">
        <v>4364</v>
      </c>
      <c r="D2192" t="s">
        <v>155</v>
      </c>
      <c r="E2192" t="s">
        <v>417</v>
      </c>
      <c r="F2192" t="s">
        <v>4365</v>
      </c>
      <c r="G2192" t="str">
        <f>"201406005246"</f>
        <v>201406005246</v>
      </c>
      <c r="H2192" t="s">
        <v>2492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70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>
        <v>0</v>
      </c>
      <c r="X2192">
        <v>0</v>
      </c>
      <c r="Y2192">
        <v>0</v>
      </c>
      <c r="Z2192">
        <v>0</v>
      </c>
      <c r="AA2192">
        <v>0</v>
      </c>
      <c r="AB2192" t="s">
        <v>4366</v>
      </c>
    </row>
    <row r="2193" spans="1:28" x14ac:dyDescent="0.25">
      <c r="H2193" t="s">
        <v>4367</v>
      </c>
    </row>
    <row r="2194" spans="1:28" x14ac:dyDescent="0.25">
      <c r="A2194">
        <v>1094</v>
      </c>
      <c r="B2194">
        <v>2270</v>
      </c>
      <c r="C2194" t="s">
        <v>4368</v>
      </c>
      <c r="D2194" t="s">
        <v>179</v>
      </c>
      <c r="E2194" t="s">
        <v>39</v>
      </c>
      <c r="F2194" t="s">
        <v>4369</v>
      </c>
      <c r="G2194" t="str">
        <f>"201406007015"</f>
        <v>201406007015</v>
      </c>
      <c r="H2194" t="s">
        <v>400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30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>
        <v>0</v>
      </c>
      <c r="X2194">
        <v>0</v>
      </c>
      <c r="Y2194">
        <v>0</v>
      </c>
      <c r="Z2194">
        <v>0</v>
      </c>
      <c r="AA2194">
        <v>0</v>
      </c>
      <c r="AB2194" t="s">
        <v>4370</v>
      </c>
    </row>
    <row r="2195" spans="1:28" x14ac:dyDescent="0.25">
      <c r="H2195" t="s">
        <v>4371</v>
      </c>
    </row>
    <row r="2196" spans="1:28" x14ac:dyDescent="0.25">
      <c r="A2196">
        <v>1095</v>
      </c>
      <c r="B2196">
        <v>2993</v>
      </c>
      <c r="C2196" t="s">
        <v>4372</v>
      </c>
      <c r="D2196" t="s">
        <v>20</v>
      </c>
      <c r="E2196" t="s">
        <v>14</v>
      </c>
      <c r="F2196" t="s">
        <v>4373</v>
      </c>
      <c r="G2196" t="str">
        <f>"00236380"</f>
        <v>00236380</v>
      </c>
      <c r="H2196" t="s">
        <v>4374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30</v>
      </c>
      <c r="O2196">
        <v>0</v>
      </c>
      <c r="P2196">
        <v>30</v>
      </c>
      <c r="Q2196">
        <v>0</v>
      </c>
      <c r="R2196">
        <v>0</v>
      </c>
      <c r="S2196">
        <v>0</v>
      </c>
      <c r="T2196">
        <v>0</v>
      </c>
      <c r="U2196">
        <v>0</v>
      </c>
      <c r="V2196">
        <v>0</v>
      </c>
      <c r="X2196">
        <v>0</v>
      </c>
      <c r="Y2196">
        <v>0</v>
      </c>
      <c r="Z2196">
        <v>0</v>
      </c>
      <c r="AA2196">
        <v>0</v>
      </c>
      <c r="AB2196" t="s">
        <v>4375</v>
      </c>
    </row>
    <row r="2197" spans="1:28" x14ac:dyDescent="0.25">
      <c r="H2197" t="s">
        <v>4376</v>
      </c>
    </row>
    <row r="2198" spans="1:28" x14ac:dyDescent="0.25">
      <c r="A2198">
        <v>1096</v>
      </c>
      <c r="B2198">
        <v>342</v>
      </c>
      <c r="C2198" t="s">
        <v>4377</v>
      </c>
      <c r="D2198" t="s">
        <v>1180</v>
      </c>
      <c r="E2198" t="s">
        <v>14</v>
      </c>
      <c r="F2198" t="s">
        <v>4378</v>
      </c>
      <c r="G2198" t="str">
        <f>"201406002608"</f>
        <v>201406002608</v>
      </c>
      <c r="H2198" t="s">
        <v>289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30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0</v>
      </c>
      <c r="X2198">
        <v>0</v>
      </c>
      <c r="Y2198">
        <v>0</v>
      </c>
      <c r="Z2198">
        <v>0</v>
      </c>
      <c r="AA2198">
        <v>0</v>
      </c>
      <c r="AB2198" t="s">
        <v>4379</v>
      </c>
    </row>
    <row r="2199" spans="1:28" x14ac:dyDescent="0.25">
      <c r="H2199" t="s">
        <v>4380</v>
      </c>
    </row>
    <row r="2200" spans="1:28" x14ac:dyDescent="0.25">
      <c r="A2200">
        <v>1097</v>
      </c>
      <c r="B2200">
        <v>1472</v>
      </c>
      <c r="C2200" t="s">
        <v>4381</v>
      </c>
      <c r="D2200" t="s">
        <v>26</v>
      </c>
      <c r="E2200" t="s">
        <v>20</v>
      </c>
      <c r="F2200" t="s">
        <v>4382</v>
      </c>
      <c r="G2200" t="str">
        <f>"201406011748"</f>
        <v>201406011748</v>
      </c>
      <c r="H2200" t="s">
        <v>289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30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0</v>
      </c>
      <c r="X2200">
        <v>0</v>
      </c>
      <c r="Y2200">
        <v>0</v>
      </c>
      <c r="Z2200">
        <v>0</v>
      </c>
      <c r="AA2200">
        <v>0</v>
      </c>
      <c r="AB2200" t="s">
        <v>4379</v>
      </c>
    </row>
    <row r="2201" spans="1:28" x14ac:dyDescent="0.25">
      <c r="H2201" t="s">
        <v>4383</v>
      </c>
    </row>
    <row r="2202" spans="1:28" x14ac:dyDescent="0.25">
      <c r="A2202">
        <v>1098</v>
      </c>
      <c r="B2202">
        <v>764</v>
      </c>
      <c r="C2202" t="s">
        <v>4384</v>
      </c>
      <c r="D2202" t="s">
        <v>4385</v>
      </c>
      <c r="E2202" t="s">
        <v>20</v>
      </c>
      <c r="F2202" t="s">
        <v>4386</v>
      </c>
      <c r="G2202" t="str">
        <f>"00222583"</f>
        <v>00222583</v>
      </c>
      <c r="H2202" t="s">
        <v>289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30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>
        <v>0</v>
      </c>
      <c r="X2202">
        <v>0</v>
      </c>
      <c r="Y2202">
        <v>0</v>
      </c>
      <c r="Z2202">
        <v>0</v>
      </c>
      <c r="AA2202">
        <v>0</v>
      </c>
      <c r="AB2202" t="s">
        <v>4379</v>
      </c>
    </row>
    <row r="2203" spans="1:28" x14ac:dyDescent="0.25">
      <c r="H2203" t="s">
        <v>152</v>
      </c>
    </row>
    <row r="2204" spans="1:28" x14ac:dyDescent="0.25">
      <c r="A2204">
        <v>1099</v>
      </c>
      <c r="B2204">
        <v>653</v>
      </c>
      <c r="C2204" t="s">
        <v>4387</v>
      </c>
      <c r="D2204" t="s">
        <v>14</v>
      </c>
      <c r="E2204" t="s">
        <v>635</v>
      </c>
      <c r="F2204" t="s">
        <v>4388</v>
      </c>
      <c r="G2204" t="str">
        <f>"201405002116"</f>
        <v>201405002116</v>
      </c>
      <c r="H2204" t="s">
        <v>1105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70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0</v>
      </c>
      <c r="X2204">
        <v>0</v>
      </c>
      <c r="Y2204">
        <v>0</v>
      </c>
      <c r="Z2204">
        <v>0</v>
      </c>
      <c r="AA2204">
        <v>0</v>
      </c>
      <c r="AB2204" t="s">
        <v>4389</v>
      </c>
    </row>
    <row r="2205" spans="1:28" x14ac:dyDescent="0.25">
      <c r="H2205" t="s">
        <v>4390</v>
      </c>
    </row>
    <row r="2206" spans="1:28" x14ac:dyDescent="0.25">
      <c r="A2206">
        <v>1100</v>
      </c>
      <c r="B2206">
        <v>4452</v>
      </c>
      <c r="C2206" t="s">
        <v>4391</v>
      </c>
      <c r="D2206" t="s">
        <v>63</v>
      </c>
      <c r="E2206" t="s">
        <v>80</v>
      </c>
      <c r="F2206" t="s">
        <v>4392</v>
      </c>
      <c r="G2206" t="str">
        <f>"201409005297"</f>
        <v>201409005297</v>
      </c>
      <c r="H2206" t="s">
        <v>1105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70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>
        <v>0</v>
      </c>
      <c r="X2206">
        <v>0</v>
      </c>
      <c r="Y2206">
        <v>0</v>
      </c>
      <c r="Z2206">
        <v>0</v>
      </c>
      <c r="AA2206">
        <v>0</v>
      </c>
      <c r="AB2206" t="s">
        <v>4389</v>
      </c>
    </row>
    <row r="2207" spans="1:28" x14ac:dyDescent="0.25">
      <c r="H2207" t="s">
        <v>4393</v>
      </c>
    </row>
    <row r="2208" spans="1:28" x14ac:dyDescent="0.25">
      <c r="A2208">
        <v>1101</v>
      </c>
      <c r="B2208">
        <v>3748</v>
      </c>
      <c r="C2208" t="s">
        <v>4394</v>
      </c>
      <c r="D2208" t="s">
        <v>480</v>
      </c>
      <c r="E2208" t="s">
        <v>38</v>
      </c>
      <c r="F2208" t="s">
        <v>4395</v>
      </c>
      <c r="G2208" t="str">
        <f>"201406011710"</f>
        <v>201406011710</v>
      </c>
      <c r="H2208" t="s">
        <v>1841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30</v>
      </c>
      <c r="O2208">
        <v>0</v>
      </c>
      <c r="P2208">
        <v>0</v>
      </c>
      <c r="Q2208">
        <v>0</v>
      </c>
      <c r="R2208">
        <v>0</v>
      </c>
      <c r="S2208">
        <v>0</v>
      </c>
      <c r="T2208">
        <v>0</v>
      </c>
      <c r="U2208">
        <v>0</v>
      </c>
      <c r="V2208">
        <v>0</v>
      </c>
      <c r="X2208">
        <v>0</v>
      </c>
      <c r="Y2208">
        <v>0</v>
      </c>
      <c r="Z2208">
        <v>0</v>
      </c>
      <c r="AA2208">
        <v>0</v>
      </c>
      <c r="AB2208" t="s">
        <v>4396</v>
      </c>
    </row>
    <row r="2209" spans="1:28" x14ac:dyDescent="0.25">
      <c r="H2209" t="s">
        <v>1151</v>
      </c>
    </row>
    <row r="2210" spans="1:28" x14ac:dyDescent="0.25">
      <c r="A2210">
        <v>1102</v>
      </c>
      <c r="B2210">
        <v>599</v>
      </c>
      <c r="C2210" t="s">
        <v>4397</v>
      </c>
      <c r="D2210" t="s">
        <v>20</v>
      </c>
      <c r="E2210" t="s">
        <v>277</v>
      </c>
      <c r="F2210" t="s">
        <v>4398</v>
      </c>
      <c r="G2210" t="str">
        <f>"00109498"</f>
        <v>00109498</v>
      </c>
      <c r="H2210" t="s">
        <v>2721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30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>
        <v>0</v>
      </c>
      <c r="X2210">
        <v>0</v>
      </c>
      <c r="Y2210">
        <v>0</v>
      </c>
      <c r="Z2210">
        <v>0</v>
      </c>
      <c r="AA2210">
        <v>0</v>
      </c>
      <c r="AB2210" t="s">
        <v>4399</v>
      </c>
    </row>
    <row r="2211" spans="1:28" x14ac:dyDescent="0.25">
      <c r="H2211" t="s">
        <v>205</v>
      </c>
    </row>
    <row r="2212" spans="1:28" x14ac:dyDescent="0.25">
      <c r="A2212">
        <v>1103</v>
      </c>
      <c r="B2212">
        <v>483</v>
      </c>
      <c r="C2212" t="s">
        <v>287</v>
      </c>
      <c r="D2212" t="s">
        <v>70</v>
      </c>
      <c r="E2212" t="s">
        <v>14</v>
      </c>
      <c r="F2212" t="s">
        <v>4400</v>
      </c>
      <c r="G2212" t="str">
        <f>"00235878"</f>
        <v>00235878</v>
      </c>
      <c r="H2212" t="s">
        <v>2721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30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0</v>
      </c>
      <c r="V2212">
        <v>0</v>
      </c>
      <c r="X2212">
        <v>1</v>
      </c>
      <c r="Y2212">
        <v>0</v>
      </c>
      <c r="Z2212">
        <v>0</v>
      </c>
      <c r="AA2212">
        <v>0</v>
      </c>
      <c r="AB2212" t="s">
        <v>4399</v>
      </c>
    </row>
    <row r="2213" spans="1:28" x14ac:dyDescent="0.25">
      <c r="H2213" t="s">
        <v>2219</v>
      </c>
    </row>
    <row r="2214" spans="1:28" x14ac:dyDescent="0.25">
      <c r="A2214">
        <v>1104</v>
      </c>
      <c r="B2214">
        <v>1517</v>
      </c>
      <c r="C2214" t="s">
        <v>4401</v>
      </c>
      <c r="D2214" t="s">
        <v>109</v>
      </c>
      <c r="E2214" t="s">
        <v>69</v>
      </c>
      <c r="F2214" t="s">
        <v>4402</v>
      </c>
      <c r="G2214" t="str">
        <f>"00221315"</f>
        <v>00221315</v>
      </c>
      <c r="H2214" t="s">
        <v>2721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30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0</v>
      </c>
      <c r="V2214">
        <v>0</v>
      </c>
      <c r="X2214">
        <v>0</v>
      </c>
      <c r="Y2214">
        <v>0</v>
      </c>
      <c r="Z2214">
        <v>0</v>
      </c>
      <c r="AA2214">
        <v>0</v>
      </c>
      <c r="AB2214" t="s">
        <v>4399</v>
      </c>
    </row>
    <row r="2215" spans="1:28" x14ac:dyDescent="0.25">
      <c r="H2215" t="s">
        <v>2219</v>
      </c>
    </row>
    <row r="2216" spans="1:28" x14ac:dyDescent="0.25">
      <c r="A2216">
        <v>1105</v>
      </c>
      <c r="B2216">
        <v>3147</v>
      </c>
      <c r="C2216" t="s">
        <v>4403</v>
      </c>
      <c r="D2216" t="s">
        <v>282</v>
      </c>
      <c r="E2216" t="s">
        <v>282</v>
      </c>
      <c r="F2216" t="s">
        <v>4404</v>
      </c>
      <c r="G2216" t="str">
        <f>"00356172"</f>
        <v>00356172</v>
      </c>
      <c r="H2216" t="s">
        <v>1132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30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>
        <v>0</v>
      </c>
      <c r="X2216">
        <v>0</v>
      </c>
      <c r="Y2216">
        <v>0</v>
      </c>
      <c r="Z2216">
        <v>0</v>
      </c>
      <c r="AA2216">
        <v>0</v>
      </c>
      <c r="AB2216" t="s">
        <v>4405</v>
      </c>
    </row>
    <row r="2217" spans="1:28" x14ac:dyDescent="0.25">
      <c r="H2217" t="s">
        <v>4406</v>
      </c>
    </row>
    <row r="2218" spans="1:28" x14ac:dyDescent="0.25">
      <c r="A2218">
        <v>1106</v>
      </c>
      <c r="B2218">
        <v>3266</v>
      </c>
      <c r="C2218" t="s">
        <v>4407</v>
      </c>
      <c r="D2218" t="s">
        <v>339</v>
      </c>
      <c r="E2218" t="s">
        <v>20</v>
      </c>
      <c r="F2218" t="s">
        <v>4408</v>
      </c>
      <c r="G2218" t="str">
        <f>"201511031334"</f>
        <v>201511031334</v>
      </c>
      <c r="H2218" t="s">
        <v>2673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30</v>
      </c>
      <c r="O2218">
        <v>0</v>
      </c>
      <c r="P2218">
        <v>30</v>
      </c>
      <c r="Q2218">
        <v>0</v>
      </c>
      <c r="R2218">
        <v>0</v>
      </c>
      <c r="S2218">
        <v>0</v>
      </c>
      <c r="T2218">
        <v>0</v>
      </c>
      <c r="U2218">
        <v>0</v>
      </c>
      <c r="V2218">
        <v>0</v>
      </c>
      <c r="X2218">
        <v>0</v>
      </c>
      <c r="Y2218">
        <v>0</v>
      </c>
      <c r="Z2218">
        <v>0</v>
      </c>
      <c r="AA2218">
        <v>0</v>
      </c>
      <c r="AB2218" t="s">
        <v>4409</v>
      </c>
    </row>
    <row r="2219" spans="1:28" x14ac:dyDescent="0.25">
      <c r="H2219">
        <v>1009</v>
      </c>
    </row>
    <row r="2220" spans="1:28" x14ac:dyDescent="0.25">
      <c r="A2220">
        <v>1107</v>
      </c>
      <c r="B2220">
        <v>2470</v>
      </c>
      <c r="C2220" t="s">
        <v>4410</v>
      </c>
      <c r="D2220" t="s">
        <v>26</v>
      </c>
      <c r="E2220" t="s">
        <v>50</v>
      </c>
      <c r="F2220" t="s">
        <v>4411</v>
      </c>
      <c r="G2220" t="str">
        <f>"00241435"</f>
        <v>00241435</v>
      </c>
      <c r="H2220" t="s">
        <v>125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30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0</v>
      </c>
      <c r="V2220">
        <v>0</v>
      </c>
      <c r="X2220">
        <v>0</v>
      </c>
      <c r="Y2220">
        <v>0</v>
      </c>
      <c r="Z2220">
        <v>0</v>
      </c>
      <c r="AA2220">
        <v>0</v>
      </c>
      <c r="AB2220" t="s">
        <v>4412</v>
      </c>
    </row>
    <row r="2221" spans="1:28" x14ac:dyDescent="0.25">
      <c r="H2221" t="s">
        <v>1960</v>
      </c>
    </row>
    <row r="2222" spans="1:28" x14ac:dyDescent="0.25">
      <c r="A2222">
        <v>1108</v>
      </c>
      <c r="B2222">
        <v>4678</v>
      </c>
      <c r="C2222" t="s">
        <v>4413</v>
      </c>
      <c r="D2222" t="s">
        <v>80</v>
      </c>
      <c r="E2222" t="s">
        <v>20</v>
      </c>
      <c r="F2222" t="s">
        <v>4414</v>
      </c>
      <c r="G2222" t="str">
        <f>"201511020081"</f>
        <v>201511020081</v>
      </c>
      <c r="H2222" t="s">
        <v>125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30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0</v>
      </c>
      <c r="V2222">
        <v>0</v>
      </c>
      <c r="X2222">
        <v>0</v>
      </c>
      <c r="Y2222">
        <v>0</v>
      </c>
      <c r="Z2222">
        <v>0</v>
      </c>
      <c r="AA2222">
        <v>0</v>
      </c>
      <c r="AB2222" t="s">
        <v>4412</v>
      </c>
    </row>
    <row r="2223" spans="1:28" x14ac:dyDescent="0.25">
      <c r="H2223" t="s">
        <v>4415</v>
      </c>
    </row>
    <row r="2224" spans="1:28" x14ac:dyDescent="0.25">
      <c r="A2224">
        <v>1109</v>
      </c>
      <c r="B2224">
        <v>324</v>
      </c>
      <c r="C2224" t="s">
        <v>4416</v>
      </c>
      <c r="D2224" t="s">
        <v>3272</v>
      </c>
      <c r="E2224" t="s">
        <v>311</v>
      </c>
      <c r="F2224" t="s">
        <v>4417</v>
      </c>
      <c r="G2224" t="str">
        <f>"201406005578"</f>
        <v>201406005578</v>
      </c>
      <c r="H2224" t="s">
        <v>125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30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0</v>
      </c>
      <c r="V2224">
        <v>0</v>
      </c>
      <c r="X2224">
        <v>0</v>
      </c>
      <c r="Y2224">
        <v>0</v>
      </c>
      <c r="Z2224">
        <v>0</v>
      </c>
      <c r="AA2224">
        <v>0</v>
      </c>
      <c r="AB2224" t="s">
        <v>4412</v>
      </c>
    </row>
    <row r="2225" spans="1:28" x14ac:dyDescent="0.25">
      <c r="H2225" t="s">
        <v>4418</v>
      </c>
    </row>
    <row r="2226" spans="1:28" x14ac:dyDescent="0.25">
      <c r="A2226">
        <v>1110</v>
      </c>
      <c r="B2226">
        <v>3533</v>
      </c>
      <c r="C2226" t="s">
        <v>845</v>
      </c>
      <c r="D2226" t="s">
        <v>4419</v>
      </c>
      <c r="E2226" t="s">
        <v>193</v>
      </c>
      <c r="F2226" t="s">
        <v>4420</v>
      </c>
      <c r="G2226" t="str">
        <f>"00237293"</f>
        <v>00237293</v>
      </c>
      <c r="H2226" t="s">
        <v>125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30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>
        <v>0</v>
      </c>
      <c r="X2226">
        <v>0</v>
      </c>
      <c r="Y2226">
        <v>0</v>
      </c>
      <c r="Z2226">
        <v>0</v>
      </c>
      <c r="AA2226">
        <v>0</v>
      </c>
      <c r="AB2226" t="s">
        <v>4412</v>
      </c>
    </row>
    <row r="2227" spans="1:28" x14ac:dyDescent="0.25">
      <c r="H2227" t="s">
        <v>427</v>
      </c>
    </row>
    <row r="2228" spans="1:28" x14ac:dyDescent="0.25">
      <c r="A2228">
        <v>1111</v>
      </c>
      <c r="B2228">
        <v>1209</v>
      </c>
      <c r="C2228" t="s">
        <v>787</v>
      </c>
      <c r="D2228" t="s">
        <v>2076</v>
      </c>
      <c r="E2228" t="s">
        <v>155</v>
      </c>
      <c r="F2228" t="s">
        <v>4421</v>
      </c>
      <c r="G2228" t="str">
        <f>"00297667"</f>
        <v>00297667</v>
      </c>
      <c r="H2228" t="s">
        <v>125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30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>
        <v>0</v>
      </c>
      <c r="X2228">
        <v>0</v>
      </c>
      <c r="Y2228">
        <v>0</v>
      </c>
      <c r="Z2228">
        <v>0</v>
      </c>
      <c r="AA2228">
        <v>0</v>
      </c>
      <c r="AB2228" t="s">
        <v>4412</v>
      </c>
    </row>
    <row r="2229" spans="1:28" x14ac:dyDescent="0.25">
      <c r="H2229" t="s">
        <v>3294</v>
      </c>
    </row>
    <row r="2230" spans="1:28" x14ac:dyDescent="0.25">
      <c r="A2230">
        <v>1112</v>
      </c>
      <c r="B2230">
        <v>1165</v>
      </c>
      <c r="C2230" t="s">
        <v>433</v>
      </c>
      <c r="D2230" t="s">
        <v>179</v>
      </c>
      <c r="E2230" t="s">
        <v>154</v>
      </c>
      <c r="F2230" t="s">
        <v>4422</v>
      </c>
      <c r="G2230" t="str">
        <f>"200802007759"</f>
        <v>200802007759</v>
      </c>
      <c r="H2230" t="s">
        <v>2296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30</v>
      </c>
      <c r="O2230">
        <v>30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>
        <v>0</v>
      </c>
      <c r="X2230">
        <v>0</v>
      </c>
      <c r="Y2230">
        <v>0</v>
      </c>
      <c r="Z2230">
        <v>0</v>
      </c>
      <c r="AA2230">
        <v>0</v>
      </c>
      <c r="AB2230" t="s">
        <v>4423</v>
      </c>
    </row>
    <row r="2231" spans="1:28" x14ac:dyDescent="0.25">
      <c r="H2231" t="s">
        <v>4424</v>
      </c>
    </row>
    <row r="2232" spans="1:28" x14ac:dyDescent="0.25">
      <c r="A2232">
        <v>1113</v>
      </c>
      <c r="B2232">
        <v>1310</v>
      </c>
      <c r="C2232" t="s">
        <v>4425</v>
      </c>
      <c r="D2232" t="s">
        <v>138</v>
      </c>
      <c r="E2232" t="s">
        <v>51</v>
      </c>
      <c r="F2232" t="s">
        <v>4426</v>
      </c>
      <c r="G2232" t="str">
        <f>"201402000094"</f>
        <v>201402000094</v>
      </c>
      <c r="H2232" t="s">
        <v>2463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30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>
        <v>0</v>
      </c>
      <c r="X2232">
        <v>0</v>
      </c>
      <c r="Y2232">
        <v>0</v>
      </c>
      <c r="Z2232">
        <v>0</v>
      </c>
      <c r="AA2232">
        <v>0</v>
      </c>
      <c r="AB2232" t="s">
        <v>4427</v>
      </c>
    </row>
    <row r="2233" spans="1:28" x14ac:dyDescent="0.25">
      <c r="H2233" t="s">
        <v>1960</v>
      </c>
    </row>
    <row r="2234" spans="1:28" x14ac:dyDescent="0.25">
      <c r="A2234">
        <v>1114</v>
      </c>
      <c r="B2234">
        <v>1145</v>
      </c>
      <c r="C2234" t="s">
        <v>838</v>
      </c>
      <c r="D2234" t="s">
        <v>117</v>
      </c>
      <c r="E2234" t="s">
        <v>44</v>
      </c>
      <c r="F2234" t="s">
        <v>4428</v>
      </c>
      <c r="G2234" t="str">
        <f>"00124046"</f>
        <v>00124046</v>
      </c>
      <c r="H2234" t="s">
        <v>2463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30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>
        <v>0</v>
      </c>
      <c r="X2234">
        <v>0</v>
      </c>
      <c r="Y2234">
        <v>0</v>
      </c>
      <c r="Z2234">
        <v>0</v>
      </c>
      <c r="AA2234">
        <v>0</v>
      </c>
      <c r="AB2234" t="s">
        <v>4427</v>
      </c>
    </row>
    <row r="2235" spans="1:28" x14ac:dyDescent="0.25">
      <c r="H2235" t="s">
        <v>3494</v>
      </c>
    </row>
    <row r="2236" spans="1:28" x14ac:dyDescent="0.25">
      <c r="A2236">
        <v>1115</v>
      </c>
      <c r="B2236">
        <v>1457</v>
      </c>
      <c r="C2236" t="s">
        <v>4429</v>
      </c>
      <c r="D2236" t="s">
        <v>480</v>
      </c>
      <c r="E2236" t="s">
        <v>44</v>
      </c>
      <c r="F2236" t="s">
        <v>4430</v>
      </c>
      <c r="G2236" t="str">
        <f>"00103290"</f>
        <v>00103290</v>
      </c>
      <c r="H2236" t="s">
        <v>3622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30</v>
      </c>
      <c r="O2236">
        <v>0</v>
      </c>
      <c r="P2236">
        <v>0</v>
      </c>
      <c r="Q2236">
        <v>0</v>
      </c>
      <c r="R2236">
        <v>0</v>
      </c>
      <c r="S2236">
        <v>0</v>
      </c>
      <c r="T2236">
        <v>0</v>
      </c>
      <c r="U2236">
        <v>0</v>
      </c>
      <c r="V2236">
        <v>0</v>
      </c>
      <c r="X2236">
        <v>1</v>
      </c>
      <c r="Y2236">
        <v>0</v>
      </c>
      <c r="Z2236">
        <v>0</v>
      </c>
      <c r="AA2236">
        <v>0</v>
      </c>
      <c r="AB2236" t="s">
        <v>4431</v>
      </c>
    </row>
    <row r="2237" spans="1:28" x14ac:dyDescent="0.25">
      <c r="H2237" t="s">
        <v>4432</v>
      </c>
    </row>
    <row r="2238" spans="1:28" x14ac:dyDescent="0.25">
      <c r="A2238">
        <v>1116</v>
      </c>
      <c r="B2238">
        <v>3318</v>
      </c>
      <c r="C2238" t="s">
        <v>4433</v>
      </c>
      <c r="D2238" t="s">
        <v>15</v>
      </c>
      <c r="E2238" t="s">
        <v>4219</v>
      </c>
      <c r="F2238" t="s">
        <v>4434</v>
      </c>
      <c r="G2238" t="str">
        <f>"00339841"</f>
        <v>00339841</v>
      </c>
      <c r="H2238" t="s">
        <v>2568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50</v>
      </c>
      <c r="O2238">
        <v>0</v>
      </c>
      <c r="P2238">
        <v>30</v>
      </c>
      <c r="Q2238">
        <v>0</v>
      </c>
      <c r="R2238">
        <v>0</v>
      </c>
      <c r="S2238">
        <v>0</v>
      </c>
      <c r="T2238">
        <v>0</v>
      </c>
      <c r="U2238">
        <v>0</v>
      </c>
      <c r="V2238">
        <v>0</v>
      </c>
      <c r="X2238">
        <v>0</v>
      </c>
      <c r="Y2238">
        <v>0</v>
      </c>
      <c r="Z2238">
        <v>0</v>
      </c>
      <c r="AA2238">
        <v>0</v>
      </c>
      <c r="AB2238" t="s">
        <v>4435</v>
      </c>
    </row>
    <row r="2239" spans="1:28" x14ac:dyDescent="0.25">
      <c r="H2239" t="s">
        <v>4436</v>
      </c>
    </row>
    <row r="2240" spans="1:28" x14ac:dyDescent="0.25">
      <c r="A2240">
        <v>1117</v>
      </c>
      <c r="B2240">
        <v>43</v>
      </c>
      <c r="C2240" t="s">
        <v>4437</v>
      </c>
      <c r="D2240" t="s">
        <v>202</v>
      </c>
      <c r="E2240" t="s">
        <v>39</v>
      </c>
      <c r="F2240" t="s">
        <v>4438</v>
      </c>
      <c r="G2240" t="str">
        <f>"00116082"</f>
        <v>00116082</v>
      </c>
      <c r="H2240" t="s">
        <v>670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30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>
        <v>0</v>
      </c>
      <c r="X2240">
        <v>0</v>
      </c>
      <c r="Y2240">
        <v>0</v>
      </c>
      <c r="Z2240">
        <v>0</v>
      </c>
      <c r="AA2240">
        <v>0</v>
      </c>
      <c r="AB2240" t="s">
        <v>4439</v>
      </c>
    </row>
    <row r="2241" spans="1:28" x14ac:dyDescent="0.25">
      <c r="H2241" t="s">
        <v>4440</v>
      </c>
    </row>
    <row r="2242" spans="1:28" x14ac:dyDescent="0.25">
      <c r="A2242">
        <v>1118</v>
      </c>
      <c r="B2242">
        <v>4459</v>
      </c>
      <c r="C2242" t="s">
        <v>4441</v>
      </c>
      <c r="D2242" t="s">
        <v>271</v>
      </c>
      <c r="E2242" t="s">
        <v>44</v>
      </c>
      <c r="F2242" t="s">
        <v>4442</v>
      </c>
      <c r="G2242" t="str">
        <f>"201409006107"</f>
        <v>201409006107</v>
      </c>
      <c r="H2242" t="s">
        <v>1249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70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>
        <v>0</v>
      </c>
      <c r="X2242">
        <v>0</v>
      </c>
      <c r="Y2242">
        <v>0</v>
      </c>
      <c r="Z2242">
        <v>0</v>
      </c>
      <c r="AA2242">
        <v>0</v>
      </c>
      <c r="AB2242" t="s">
        <v>4443</v>
      </c>
    </row>
    <row r="2243" spans="1:28" x14ac:dyDescent="0.25">
      <c r="H2243" t="s">
        <v>4444</v>
      </c>
    </row>
    <row r="2244" spans="1:28" x14ac:dyDescent="0.25">
      <c r="A2244">
        <v>1119</v>
      </c>
      <c r="B2244">
        <v>2702</v>
      </c>
      <c r="C2244" t="s">
        <v>4445</v>
      </c>
      <c r="D2244" t="s">
        <v>471</v>
      </c>
      <c r="E2244" t="s">
        <v>287</v>
      </c>
      <c r="F2244" t="s">
        <v>4446</v>
      </c>
      <c r="G2244" t="str">
        <f>"201412002068"</f>
        <v>201412002068</v>
      </c>
      <c r="H2244" t="s">
        <v>1249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70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>
        <v>0</v>
      </c>
      <c r="X2244">
        <v>0</v>
      </c>
      <c r="Y2244">
        <v>0</v>
      </c>
      <c r="Z2244">
        <v>0</v>
      </c>
      <c r="AA2244">
        <v>0</v>
      </c>
      <c r="AB2244" t="s">
        <v>4443</v>
      </c>
    </row>
    <row r="2245" spans="1:28" x14ac:dyDescent="0.25">
      <c r="H2245" t="s">
        <v>4447</v>
      </c>
    </row>
    <row r="2246" spans="1:28" x14ac:dyDescent="0.25">
      <c r="A2246">
        <v>1120</v>
      </c>
      <c r="B2246">
        <v>1889</v>
      </c>
      <c r="C2246" t="s">
        <v>4448</v>
      </c>
      <c r="D2246" t="s">
        <v>155</v>
      </c>
      <c r="E2246" t="s">
        <v>311</v>
      </c>
      <c r="F2246" t="s">
        <v>4449</v>
      </c>
      <c r="G2246" t="str">
        <f>"201405001421"</f>
        <v>201405001421</v>
      </c>
      <c r="H2246" t="s">
        <v>4450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30</v>
      </c>
      <c r="O2246">
        <v>0</v>
      </c>
      <c r="P2246">
        <v>0</v>
      </c>
      <c r="Q2246">
        <v>0</v>
      </c>
      <c r="R2246">
        <v>0</v>
      </c>
      <c r="S2246">
        <v>0</v>
      </c>
      <c r="T2246">
        <v>0</v>
      </c>
      <c r="U2246">
        <v>0</v>
      </c>
      <c r="V2246">
        <v>0</v>
      </c>
      <c r="X2246">
        <v>0</v>
      </c>
      <c r="Y2246">
        <v>0</v>
      </c>
      <c r="Z2246">
        <v>0</v>
      </c>
      <c r="AA2246">
        <v>0</v>
      </c>
      <c r="AB2246" t="s">
        <v>4451</v>
      </c>
    </row>
    <row r="2247" spans="1:28" x14ac:dyDescent="0.25">
      <c r="H2247" t="s">
        <v>4452</v>
      </c>
    </row>
    <row r="2248" spans="1:28" x14ac:dyDescent="0.25">
      <c r="A2248">
        <v>1121</v>
      </c>
      <c r="B2248">
        <v>2970</v>
      </c>
      <c r="C2248" t="s">
        <v>79</v>
      </c>
      <c r="D2248" t="s">
        <v>187</v>
      </c>
      <c r="E2248" t="s">
        <v>14</v>
      </c>
      <c r="F2248" t="s">
        <v>4453</v>
      </c>
      <c r="G2248" t="str">
        <f>"201406008046"</f>
        <v>201406008046</v>
      </c>
      <c r="H2248" t="s">
        <v>4454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30</v>
      </c>
      <c r="O2248">
        <v>0</v>
      </c>
      <c r="P2248">
        <v>50</v>
      </c>
      <c r="Q2248">
        <v>0</v>
      </c>
      <c r="R2248">
        <v>0</v>
      </c>
      <c r="S2248">
        <v>0</v>
      </c>
      <c r="T2248">
        <v>0</v>
      </c>
      <c r="U2248">
        <v>0</v>
      </c>
      <c r="V2248">
        <v>0</v>
      </c>
      <c r="X2248">
        <v>0</v>
      </c>
      <c r="Y2248">
        <v>0</v>
      </c>
      <c r="Z2248">
        <v>0</v>
      </c>
      <c r="AA2248">
        <v>0</v>
      </c>
      <c r="AB2248" t="s">
        <v>4455</v>
      </c>
    </row>
    <row r="2249" spans="1:28" x14ac:dyDescent="0.25">
      <c r="H2249" t="s">
        <v>4456</v>
      </c>
    </row>
    <row r="2250" spans="1:28" x14ac:dyDescent="0.25">
      <c r="A2250">
        <v>1122</v>
      </c>
      <c r="B2250">
        <v>747</v>
      </c>
      <c r="C2250" t="s">
        <v>4457</v>
      </c>
      <c r="D2250" t="s">
        <v>807</v>
      </c>
      <c r="E2250" t="s">
        <v>405</v>
      </c>
      <c r="F2250" t="s">
        <v>4458</v>
      </c>
      <c r="G2250" t="str">
        <f>"00310416"</f>
        <v>00310416</v>
      </c>
      <c r="H2250">
        <v>660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50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0</v>
      </c>
      <c r="X2250">
        <v>0</v>
      </c>
      <c r="Y2250">
        <v>0</v>
      </c>
      <c r="Z2250">
        <v>0</v>
      </c>
      <c r="AA2250">
        <v>0</v>
      </c>
      <c r="AB2250">
        <v>710</v>
      </c>
    </row>
    <row r="2251" spans="1:28" x14ac:dyDescent="0.25">
      <c r="H2251" t="s">
        <v>205</v>
      </c>
    </row>
    <row r="2252" spans="1:28" x14ac:dyDescent="0.25">
      <c r="A2252">
        <v>1123</v>
      </c>
      <c r="B2252">
        <v>2963</v>
      </c>
      <c r="C2252" t="s">
        <v>4459</v>
      </c>
      <c r="D2252" t="s">
        <v>1781</v>
      </c>
      <c r="E2252" t="s">
        <v>80</v>
      </c>
      <c r="F2252" t="s">
        <v>4460</v>
      </c>
      <c r="G2252" t="str">
        <f>"201506002766"</f>
        <v>201506002766</v>
      </c>
      <c r="H2252" t="s">
        <v>3572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30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U2252">
        <v>0</v>
      </c>
      <c r="V2252">
        <v>0</v>
      </c>
      <c r="X2252">
        <v>0</v>
      </c>
      <c r="Y2252">
        <v>0</v>
      </c>
      <c r="Z2252">
        <v>0</v>
      </c>
      <c r="AA2252">
        <v>0</v>
      </c>
      <c r="AB2252" t="s">
        <v>4461</v>
      </c>
    </row>
    <row r="2253" spans="1:28" x14ac:dyDescent="0.25">
      <c r="H2253" t="s">
        <v>4462</v>
      </c>
    </row>
    <row r="2254" spans="1:28" x14ac:dyDescent="0.25">
      <c r="A2254">
        <v>1124</v>
      </c>
      <c r="B2254">
        <v>4055</v>
      </c>
      <c r="C2254" t="s">
        <v>2053</v>
      </c>
      <c r="D2254" t="s">
        <v>366</v>
      </c>
      <c r="E2254" t="s">
        <v>14</v>
      </c>
      <c r="F2254" t="s">
        <v>4463</v>
      </c>
      <c r="G2254" t="str">
        <f>"00365166"</f>
        <v>00365166</v>
      </c>
      <c r="H2254" t="s">
        <v>3572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30</v>
      </c>
      <c r="O2254">
        <v>0</v>
      </c>
      <c r="P2254">
        <v>0</v>
      </c>
      <c r="Q2254">
        <v>0</v>
      </c>
      <c r="R2254">
        <v>0</v>
      </c>
      <c r="S2254">
        <v>0</v>
      </c>
      <c r="T2254">
        <v>0</v>
      </c>
      <c r="U2254">
        <v>0</v>
      </c>
      <c r="V2254">
        <v>0</v>
      </c>
      <c r="X2254">
        <v>0</v>
      </c>
      <c r="Y2254">
        <v>0</v>
      </c>
      <c r="Z2254">
        <v>0</v>
      </c>
      <c r="AA2254">
        <v>0</v>
      </c>
      <c r="AB2254" t="s">
        <v>4461</v>
      </c>
    </row>
    <row r="2255" spans="1:28" x14ac:dyDescent="0.25">
      <c r="H2255" t="s">
        <v>3294</v>
      </c>
    </row>
    <row r="2256" spans="1:28" x14ac:dyDescent="0.25">
      <c r="A2256">
        <v>1125</v>
      </c>
      <c r="B2256">
        <v>1375</v>
      </c>
      <c r="C2256" t="s">
        <v>4464</v>
      </c>
      <c r="D2256" t="s">
        <v>19</v>
      </c>
      <c r="E2256" t="s">
        <v>1036</v>
      </c>
      <c r="F2256" t="s">
        <v>4465</v>
      </c>
      <c r="G2256" t="str">
        <f>"201604004960"</f>
        <v>201604004960</v>
      </c>
      <c r="H2256" t="s">
        <v>4466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50</v>
      </c>
      <c r="O2256">
        <v>0</v>
      </c>
      <c r="P2256">
        <v>0</v>
      </c>
      <c r="Q2256">
        <v>50</v>
      </c>
      <c r="R2256">
        <v>0</v>
      </c>
      <c r="S2256">
        <v>0</v>
      </c>
      <c r="T2256">
        <v>0</v>
      </c>
      <c r="U2256">
        <v>0</v>
      </c>
      <c r="V2256">
        <v>0</v>
      </c>
      <c r="X2256">
        <v>0</v>
      </c>
      <c r="Y2256">
        <v>0</v>
      </c>
      <c r="Z2256">
        <v>0</v>
      </c>
      <c r="AA2256">
        <v>0</v>
      </c>
      <c r="AB2256" t="s">
        <v>4467</v>
      </c>
    </row>
    <row r="2257" spans="1:28" x14ac:dyDescent="0.25">
      <c r="H2257" t="s">
        <v>834</v>
      </c>
    </row>
    <row r="2258" spans="1:28" x14ac:dyDescent="0.25">
      <c r="A2258">
        <v>1126</v>
      </c>
      <c r="B2258">
        <v>1312</v>
      </c>
      <c r="C2258" t="s">
        <v>4468</v>
      </c>
      <c r="D2258" t="s">
        <v>84</v>
      </c>
      <c r="E2258" t="s">
        <v>80</v>
      </c>
      <c r="F2258" t="s">
        <v>4469</v>
      </c>
      <c r="G2258" t="str">
        <f>"201304002913"</f>
        <v>201304002913</v>
      </c>
      <c r="H2258" t="s">
        <v>1202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30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>
        <v>0</v>
      </c>
      <c r="X2258">
        <v>1</v>
      </c>
      <c r="Y2258">
        <v>0</v>
      </c>
      <c r="Z2258">
        <v>0</v>
      </c>
      <c r="AA2258">
        <v>0</v>
      </c>
      <c r="AB2258" t="s">
        <v>4470</v>
      </c>
    </row>
    <row r="2259" spans="1:28" x14ac:dyDescent="0.25">
      <c r="H2259" t="s">
        <v>4471</v>
      </c>
    </row>
    <row r="2260" spans="1:28" x14ac:dyDescent="0.25">
      <c r="A2260">
        <v>1127</v>
      </c>
      <c r="B2260">
        <v>3710</v>
      </c>
      <c r="C2260" t="s">
        <v>4472</v>
      </c>
      <c r="D2260" t="s">
        <v>14</v>
      </c>
      <c r="E2260" t="s">
        <v>51</v>
      </c>
      <c r="F2260" t="s">
        <v>4473</v>
      </c>
      <c r="G2260" t="str">
        <f>"00242995"</f>
        <v>00242995</v>
      </c>
      <c r="H2260" t="s">
        <v>1202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30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0</v>
      </c>
      <c r="X2260">
        <v>0</v>
      </c>
      <c r="Y2260">
        <v>0</v>
      </c>
      <c r="Z2260">
        <v>0</v>
      </c>
      <c r="AA2260">
        <v>0</v>
      </c>
      <c r="AB2260" t="s">
        <v>4470</v>
      </c>
    </row>
    <row r="2261" spans="1:28" x14ac:dyDescent="0.25">
      <c r="H2261" t="s">
        <v>4474</v>
      </c>
    </row>
    <row r="2262" spans="1:28" x14ac:dyDescent="0.25">
      <c r="A2262">
        <v>1128</v>
      </c>
      <c r="B2262">
        <v>3252</v>
      </c>
      <c r="C2262" t="s">
        <v>4475</v>
      </c>
      <c r="D2262" t="s">
        <v>84</v>
      </c>
      <c r="E2262" t="s">
        <v>311</v>
      </c>
      <c r="F2262" t="s">
        <v>4476</v>
      </c>
      <c r="G2262" t="str">
        <f>"200801010340"</f>
        <v>200801010340</v>
      </c>
      <c r="H2262">
        <v>638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70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>
        <v>0</v>
      </c>
      <c r="X2262">
        <v>0</v>
      </c>
      <c r="Y2262">
        <v>0</v>
      </c>
      <c r="Z2262">
        <v>0</v>
      </c>
      <c r="AA2262">
        <v>0</v>
      </c>
      <c r="AB2262">
        <v>708</v>
      </c>
    </row>
    <row r="2263" spans="1:28" x14ac:dyDescent="0.25">
      <c r="H2263" t="s">
        <v>142</v>
      </c>
    </row>
    <row r="2264" spans="1:28" x14ac:dyDescent="0.25">
      <c r="A2264">
        <v>1129</v>
      </c>
      <c r="B2264">
        <v>919</v>
      </c>
      <c r="C2264" t="s">
        <v>4477</v>
      </c>
      <c r="D2264" t="s">
        <v>4478</v>
      </c>
      <c r="E2264" t="s">
        <v>4479</v>
      </c>
      <c r="F2264" t="s">
        <v>4480</v>
      </c>
      <c r="G2264" t="str">
        <f>"00240927"</f>
        <v>00240927</v>
      </c>
      <c r="H2264" t="s">
        <v>335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50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>
        <v>0</v>
      </c>
      <c r="X2264">
        <v>0</v>
      </c>
      <c r="Y2264">
        <v>0</v>
      </c>
      <c r="Z2264">
        <v>0</v>
      </c>
      <c r="AA2264">
        <v>0</v>
      </c>
      <c r="AB2264" t="s">
        <v>4481</v>
      </c>
    </row>
    <row r="2265" spans="1:28" x14ac:dyDescent="0.25">
      <c r="H2265" t="s">
        <v>152</v>
      </c>
    </row>
    <row r="2266" spans="1:28" x14ac:dyDescent="0.25">
      <c r="A2266">
        <v>1130</v>
      </c>
      <c r="B2266">
        <v>1392</v>
      </c>
      <c r="C2266" t="s">
        <v>4482</v>
      </c>
      <c r="D2266" t="s">
        <v>4483</v>
      </c>
      <c r="E2266" t="s">
        <v>98</v>
      </c>
      <c r="F2266" t="s">
        <v>4484</v>
      </c>
      <c r="G2266" t="str">
        <f>"00235216"</f>
        <v>00235216</v>
      </c>
      <c r="H2266" t="s">
        <v>3853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30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>
        <v>0</v>
      </c>
      <c r="X2266">
        <v>0</v>
      </c>
      <c r="Y2266">
        <v>0</v>
      </c>
      <c r="Z2266">
        <v>0</v>
      </c>
      <c r="AA2266">
        <v>0</v>
      </c>
      <c r="AB2266" t="s">
        <v>4485</v>
      </c>
    </row>
    <row r="2267" spans="1:28" x14ac:dyDescent="0.25">
      <c r="H2267" t="s">
        <v>4486</v>
      </c>
    </row>
    <row r="2268" spans="1:28" x14ac:dyDescent="0.25">
      <c r="A2268">
        <v>1131</v>
      </c>
      <c r="B2268">
        <v>5229</v>
      </c>
      <c r="C2268" t="s">
        <v>4487</v>
      </c>
      <c r="D2268" t="s">
        <v>80</v>
      </c>
      <c r="E2268" t="s">
        <v>154</v>
      </c>
      <c r="F2268" t="s">
        <v>4488</v>
      </c>
      <c r="G2268" t="str">
        <f>"201304003751"</f>
        <v>201304003751</v>
      </c>
      <c r="H2268" t="s">
        <v>3853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30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>
        <v>0</v>
      </c>
      <c r="X2268">
        <v>0</v>
      </c>
      <c r="Y2268">
        <v>0</v>
      </c>
      <c r="Z2268">
        <v>0</v>
      </c>
      <c r="AA2268">
        <v>0</v>
      </c>
      <c r="AB2268" t="s">
        <v>4485</v>
      </c>
    </row>
    <row r="2269" spans="1:28" x14ac:dyDescent="0.25">
      <c r="H2269" t="s">
        <v>4489</v>
      </c>
    </row>
    <row r="2270" spans="1:28" x14ac:dyDescent="0.25">
      <c r="A2270">
        <v>1132</v>
      </c>
      <c r="B2270">
        <v>917</v>
      </c>
      <c r="C2270" t="s">
        <v>1756</v>
      </c>
      <c r="D2270" t="s">
        <v>1786</v>
      </c>
      <c r="E2270" t="s">
        <v>758</v>
      </c>
      <c r="F2270" t="s">
        <v>4490</v>
      </c>
      <c r="G2270" t="str">
        <f>"00241876"</f>
        <v>00241876</v>
      </c>
      <c r="H2270" t="s">
        <v>573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70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0</v>
      </c>
      <c r="X2270">
        <v>1</v>
      </c>
      <c r="Y2270">
        <v>0</v>
      </c>
      <c r="Z2270">
        <v>0</v>
      </c>
      <c r="AA2270">
        <v>0</v>
      </c>
      <c r="AB2270" t="s">
        <v>4491</v>
      </c>
    </row>
    <row r="2271" spans="1:28" x14ac:dyDescent="0.25">
      <c r="H2271">
        <v>1009</v>
      </c>
    </row>
    <row r="2272" spans="1:28" x14ac:dyDescent="0.25">
      <c r="A2272">
        <v>1133</v>
      </c>
      <c r="B2272">
        <v>218</v>
      </c>
      <c r="C2272" t="s">
        <v>3223</v>
      </c>
      <c r="D2272" t="s">
        <v>26</v>
      </c>
      <c r="E2272" t="s">
        <v>762</v>
      </c>
      <c r="F2272" t="s">
        <v>4492</v>
      </c>
      <c r="G2272" t="str">
        <f>"00104243"</f>
        <v>00104243</v>
      </c>
      <c r="H2272" t="s">
        <v>4162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30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>
        <v>0</v>
      </c>
      <c r="X2272">
        <v>0</v>
      </c>
      <c r="Y2272">
        <v>0</v>
      </c>
      <c r="Z2272">
        <v>0</v>
      </c>
      <c r="AA2272">
        <v>0</v>
      </c>
      <c r="AB2272" t="s">
        <v>4493</v>
      </c>
    </row>
    <row r="2273" spans="1:28" x14ac:dyDescent="0.25">
      <c r="H2273" t="s">
        <v>2589</v>
      </c>
    </row>
    <row r="2274" spans="1:28" x14ac:dyDescent="0.25">
      <c r="A2274">
        <v>1134</v>
      </c>
      <c r="B2274">
        <v>1019</v>
      </c>
      <c r="C2274" t="s">
        <v>4494</v>
      </c>
      <c r="D2274" t="s">
        <v>187</v>
      </c>
      <c r="E2274" t="s">
        <v>51</v>
      </c>
      <c r="F2274" t="s">
        <v>4495</v>
      </c>
      <c r="G2274" t="str">
        <f>"00114050"</f>
        <v>00114050</v>
      </c>
      <c r="H2274" t="s">
        <v>4162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30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>
        <v>0</v>
      </c>
      <c r="X2274">
        <v>0</v>
      </c>
      <c r="Y2274">
        <v>0</v>
      </c>
      <c r="Z2274">
        <v>0</v>
      </c>
      <c r="AA2274">
        <v>0</v>
      </c>
      <c r="AB2274" t="s">
        <v>4493</v>
      </c>
    </row>
    <row r="2275" spans="1:28" x14ac:dyDescent="0.25">
      <c r="H2275" t="s">
        <v>4496</v>
      </c>
    </row>
    <row r="2276" spans="1:28" x14ac:dyDescent="0.25">
      <c r="A2276">
        <v>1135</v>
      </c>
      <c r="B2276">
        <v>2292</v>
      </c>
      <c r="C2276" t="s">
        <v>4497</v>
      </c>
      <c r="D2276" t="s">
        <v>4498</v>
      </c>
      <c r="E2276" t="s">
        <v>80</v>
      </c>
      <c r="F2276" t="s">
        <v>4499</v>
      </c>
      <c r="G2276" t="str">
        <f>"201504002586"</f>
        <v>201504002586</v>
      </c>
      <c r="H2276" t="s">
        <v>2805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70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>
        <v>0</v>
      </c>
      <c r="X2276">
        <v>0</v>
      </c>
      <c r="Y2276">
        <v>0</v>
      </c>
      <c r="Z2276">
        <v>0</v>
      </c>
      <c r="AA2276">
        <v>0</v>
      </c>
      <c r="AB2276" t="s">
        <v>4500</v>
      </c>
    </row>
    <row r="2277" spans="1:28" x14ac:dyDescent="0.25">
      <c r="H2277" t="s">
        <v>4501</v>
      </c>
    </row>
    <row r="2278" spans="1:28" x14ac:dyDescent="0.25">
      <c r="A2278">
        <v>1136</v>
      </c>
      <c r="B2278">
        <v>2892</v>
      </c>
      <c r="C2278" t="s">
        <v>428</v>
      </c>
      <c r="D2278" t="s">
        <v>19</v>
      </c>
      <c r="E2278" t="s">
        <v>155</v>
      </c>
      <c r="F2278" t="s">
        <v>4502</v>
      </c>
      <c r="G2278" t="str">
        <f>"00236592"</f>
        <v>00236592</v>
      </c>
      <c r="H2278" t="s">
        <v>2050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30</v>
      </c>
      <c r="O2278">
        <v>30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>
        <v>0</v>
      </c>
      <c r="X2278">
        <v>0</v>
      </c>
      <c r="Y2278">
        <v>0</v>
      </c>
      <c r="Z2278">
        <v>0</v>
      </c>
      <c r="AA2278">
        <v>0</v>
      </c>
      <c r="AB2278" t="s">
        <v>4503</v>
      </c>
    </row>
    <row r="2279" spans="1:28" x14ac:dyDescent="0.25">
      <c r="H2279" t="s">
        <v>4504</v>
      </c>
    </row>
    <row r="2280" spans="1:28" x14ac:dyDescent="0.25">
      <c r="A2280">
        <v>1137</v>
      </c>
      <c r="B2280">
        <v>2755</v>
      </c>
      <c r="C2280" t="s">
        <v>1674</v>
      </c>
      <c r="D2280" t="s">
        <v>4505</v>
      </c>
      <c r="E2280" t="s">
        <v>51</v>
      </c>
      <c r="F2280" t="s">
        <v>4506</v>
      </c>
      <c r="G2280" t="str">
        <f>"201304004518"</f>
        <v>201304004518</v>
      </c>
      <c r="H2280" t="s">
        <v>2296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50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>
        <v>0</v>
      </c>
      <c r="X2280">
        <v>0</v>
      </c>
      <c r="Y2280">
        <v>0</v>
      </c>
      <c r="Z2280">
        <v>0</v>
      </c>
      <c r="AA2280">
        <v>0</v>
      </c>
      <c r="AB2280" t="s">
        <v>4507</v>
      </c>
    </row>
    <row r="2281" spans="1:28" x14ac:dyDescent="0.25">
      <c r="H2281" t="s">
        <v>4508</v>
      </c>
    </row>
    <row r="2282" spans="1:28" x14ac:dyDescent="0.25">
      <c r="A2282">
        <v>1138</v>
      </c>
      <c r="B2282">
        <v>5090</v>
      </c>
      <c r="C2282" t="s">
        <v>4509</v>
      </c>
      <c r="D2282" t="s">
        <v>20</v>
      </c>
      <c r="E2282" t="s">
        <v>14</v>
      </c>
      <c r="F2282" t="s">
        <v>4510</v>
      </c>
      <c r="G2282" t="str">
        <f>"201506000447"</f>
        <v>201506000447</v>
      </c>
      <c r="H2282" t="s">
        <v>2296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50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0</v>
      </c>
      <c r="X2282">
        <v>0</v>
      </c>
      <c r="Y2282">
        <v>0</v>
      </c>
      <c r="Z2282">
        <v>0</v>
      </c>
      <c r="AA2282">
        <v>0</v>
      </c>
      <c r="AB2282" t="s">
        <v>4507</v>
      </c>
    </row>
    <row r="2283" spans="1:28" x14ac:dyDescent="0.25">
      <c r="H2283" t="s">
        <v>4511</v>
      </c>
    </row>
    <row r="2284" spans="1:28" x14ac:dyDescent="0.25">
      <c r="A2284">
        <v>1139</v>
      </c>
      <c r="B2284">
        <v>2636</v>
      </c>
      <c r="C2284" t="s">
        <v>4512</v>
      </c>
      <c r="D2284" t="s">
        <v>179</v>
      </c>
      <c r="E2284" t="s">
        <v>50</v>
      </c>
      <c r="F2284" t="s">
        <v>4513</v>
      </c>
      <c r="G2284" t="str">
        <f>"00359422"</f>
        <v>00359422</v>
      </c>
      <c r="H2284" t="s">
        <v>389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30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>
        <v>0</v>
      </c>
      <c r="X2284">
        <v>0</v>
      </c>
      <c r="Y2284">
        <v>0</v>
      </c>
      <c r="Z2284">
        <v>0</v>
      </c>
      <c r="AA2284">
        <v>0</v>
      </c>
      <c r="AB2284" t="s">
        <v>4514</v>
      </c>
    </row>
    <row r="2285" spans="1:28" x14ac:dyDescent="0.25">
      <c r="H2285" t="s">
        <v>4515</v>
      </c>
    </row>
    <row r="2286" spans="1:28" x14ac:dyDescent="0.25">
      <c r="A2286">
        <v>1140</v>
      </c>
      <c r="B2286">
        <v>3680</v>
      </c>
      <c r="C2286" t="s">
        <v>787</v>
      </c>
      <c r="D2286" t="s">
        <v>80</v>
      </c>
      <c r="E2286" t="s">
        <v>14</v>
      </c>
      <c r="F2286" t="s">
        <v>4516</v>
      </c>
      <c r="G2286" t="str">
        <f>"00150999"</f>
        <v>00150999</v>
      </c>
      <c r="H2286" t="s">
        <v>389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30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>
        <v>0</v>
      </c>
      <c r="X2286">
        <v>0</v>
      </c>
      <c r="Y2286">
        <v>0</v>
      </c>
      <c r="Z2286">
        <v>0</v>
      </c>
      <c r="AA2286">
        <v>0</v>
      </c>
      <c r="AB2286" t="s">
        <v>4514</v>
      </c>
    </row>
    <row r="2287" spans="1:28" x14ac:dyDescent="0.25">
      <c r="H2287" t="s">
        <v>4517</v>
      </c>
    </row>
    <row r="2288" spans="1:28" x14ac:dyDescent="0.25">
      <c r="A2288">
        <v>1141</v>
      </c>
      <c r="B2288">
        <v>4298</v>
      </c>
      <c r="C2288" t="s">
        <v>4518</v>
      </c>
      <c r="D2288" t="s">
        <v>50</v>
      </c>
      <c r="E2288" t="s">
        <v>277</v>
      </c>
      <c r="F2288" t="s">
        <v>4519</v>
      </c>
      <c r="G2288" t="str">
        <f>"201304005368"</f>
        <v>201304005368</v>
      </c>
      <c r="H2288" t="s">
        <v>2820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70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>
        <v>0</v>
      </c>
      <c r="X2288">
        <v>0</v>
      </c>
      <c r="Y2288">
        <v>0</v>
      </c>
      <c r="Z2288">
        <v>0</v>
      </c>
      <c r="AA2288">
        <v>0</v>
      </c>
      <c r="AB2288" t="s">
        <v>4520</v>
      </c>
    </row>
    <row r="2289" spans="1:28" x14ac:dyDescent="0.25">
      <c r="H2289" t="s">
        <v>1589</v>
      </c>
    </row>
    <row r="2290" spans="1:28" x14ac:dyDescent="0.25">
      <c r="A2290">
        <v>1142</v>
      </c>
      <c r="B2290">
        <v>2134</v>
      </c>
      <c r="C2290" t="s">
        <v>3152</v>
      </c>
      <c r="D2290" t="s">
        <v>4521</v>
      </c>
      <c r="E2290" t="s">
        <v>134</v>
      </c>
      <c r="F2290" t="s">
        <v>4522</v>
      </c>
      <c r="G2290" t="str">
        <f>"00208364"</f>
        <v>00208364</v>
      </c>
      <c r="H2290" t="s">
        <v>4523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50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>
        <v>0</v>
      </c>
      <c r="X2290">
        <v>0</v>
      </c>
      <c r="Y2290">
        <v>0</v>
      </c>
      <c r="Z2290">
        <v>0</v>
      </c>
      <c r="AA2290">
        <v>0</v>
      </c>
      <c r="AB2290" t="s">
        <v>4524</v>
      </c>
    </row>
    <row r="2291" spans="1:28" x14ac:dyDescent="0.25">
      <c r="H2291" t="s">
        <v>427</v>
      </c>
    </row>
    <row r="2292" spans="1:28" x14ac:dyDescent="0.25">
      <c r="A2292">
        <v>1143</v>
      </c>
      <c r="B2292">
        <v>1182</v>
      </c>
      <c r="C2292" t="s">
        <v>3909</v>
      </c>
      <c r="D2292" t="s">
        <v>43</v>
      </c>
      <c r="E2292" t="s">
        <v>117</v>
      </c>
      <c r="F2292" t="s">
        <v>4525</v>
      </c>
      <c r="G2292" t="str">
        <f>"201511005113"</f>
        <v>201511005113</v>
      </c>
      <c r="H2292" t="s">
        <v>2071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30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>
        <v>0</v>
      </c>
      <c r="X2292">
        <v>0</v>
      </c>
      <c r="Y2292">
        <v>0</v>
      </c>
      <c r="Z2292">
        <v>0</v>
      </c>
      <c r="AA2292">
        <v>0</v>
      </c>
      <c r="AB2292" t="s">
        <v>4526</v>
      </c>
    </row>
    <row r="2293" spans="1:28" x14ac:dyDescent="0.25">
      <c r="H2293" t="s">
        <v>4527</v>
      </c>
    </row>
    <row r="2294" spans="1:28" x14ac:dyDescent="0.25">
      <c r="A2294">
        <v>1144</v>
      </c>
      <c r="B2294">
        <v>2771</v>
      </c>
      <c r="C2294" t="s">
        <v>4528</v>
      </c>
      <c r="D2294" t="s">
        <v>1036</v>
      </c>
      <c r="E2294" t="s">
        <v>194</v>
      </c>
      <c r="F2294" t="s">
        <v>4529</v>
      </c>
      <c r="G2294" t="str">
        <f>"200802007259"</f>
        <v>200802007259</v>
      </c>
      <c r="H2294" t="s">
        <v>2071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30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>
        <v>0</v>
      </c>
      <c r="X2294">
        <v>0</v>
      </c>
      <c r="Y2294">
        <v>0</v>
      </c>
      <c r="Z2294">
        <v>0</v>
      </c>
      <c r="AA2294">
        <v>0</v>
      </c>
      <c r="AB2294" t="s">
        <v>4526</v>
      </c>
    </row>
    <row r="2295" spans="1:28" x14ac:dyDescent="0.25">
      <c r="H2295" t="s">
        <v>4530</v>
      </c>
    </row>
    <row r="2296" spans="1:28" x14ac:dyDescent="0.25">
      <c r="A2296">
        <v>1145</v>
      </c>
      <c r="B2296">
        <v>851</v>
      </c>
      <c r="C2296" t="s">
        <v>4531</v>
      </c>
      <c r="D2296" t="s">
        <v>4532</v>
      </c>
      <c r="E2296" t="s">
        <v>38</v>
      </c>
      <c r="F2296" t="s">
        <v>4533</v>
      </c>
      <c r="G2296" t="str">
        <f>"00245963"</f>
        <v>00245963</v>
      </c>
      <c r="H2296" t="s">
        <v>2071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30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>
        <v>0</v>
      </c>
      <c r="X2296">
        <v>0</v>
      </c>
      <c r="Y2296">
        <v>0</v>
      </c>
      <c r="Z2296">
        <v>0</v>
      </c>
      <c r="AA2296">
        <v>0</v>
      </c>
      <c r="AB2296" t="s">
        <v>4526</v>
      </c>
    </row>
    <row r="2297" spans="1:28" x14ac:dyDescent="0.25">
      <c r="H2297" t="s">
        <v>4534</v>
      </c>
    </row>
    <row r="2298" spans="1:28" x14ac:dyDescent="0.25">
      <c r="A2298">
        <v>1146</v>
      </c>
      <c r="B2298">
        <v>3084</v>
      </c>
      <c r="C2298" t="s">
        <v>4535</v>
      </c>
      <c r="D2298" t="s">
        <v>155</v>
      </c>
      <c r="E2298" t="s">
        <v>3787</v>
      </c>
      <c r="F2298" t="s">
        <v>4536</v>
      </c>
      <c r="G2298" t="str">
        <f>"00295549"</f>
        <v>00295549</v>
      </c>
      <c r="H2298" t="s">
        <v>2568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70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0</v>
      </c>
      <c r="X2298">
        <v>0</v>
      </c>
      <c r="Y2298">
        <v>0</v>
      </c>
      <c r="Z2298">
        <v>0</v>
      </c>
      <c r="AA2298">
        <v>0</v>
      </c>
      <c r="AB2298" t="s">
        <v>4537</v>
      </c>
    </row>
    <row r="2299" spans="1:28" x14ac:dyDescent="0.25">
      <c r="H2299" t="s">
        <v>4538</v>
      </c>
    </row>
    <row r="2300" spans="1:28" x14ac:dyDescent="0.25">
      <c r="A2300">
        <v>1147</v>
      </c>
      <c r="B2300">
        <v>1687</v>
      </c>
      <c r="C2300" t="s">
        <v>4539</v>
      </c>
      <c r="D2300" t="s">
        <v>14</v>
      </c>
      <c r="E2300" t="s">
        <v>3967</v>
      </c>
      <c r="F2300" t="s">
        <v>4540</v>
      </c>
      <c r="G2300" t="str">
        <f>"00295866"</f>
        <v>00295866</v>
      </c>
      <c r="H2300" t="s">
        <v>1161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30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>
        <v>0</v>
      </c>
      <c r="X2300">
        <v>0</v>
      </c>
      <c r="Y2300">
        <v>0</v>
      </c>
      <c r="Z2300">
        <v>0</v>
      </c>
      <c r="AA2300">
        <v>0</v>
      </c>
      <c r="AB2300" t="s">
        <v>4541</v>
      </c>
    </row>
    <row r="2301" spans="1:28" x14ac:dyDescent="0.25">
      <c r="H2301" t="s">
        <v>4542</v>
      </c>
    </row>
    <row r="2302" spans="1:28" x14ac:dyDescent="0.25">
      <c r="A2302">
        <v>1148</v>
      </c>
      <c r="B2302">
        <v>3357</v>
      </c>
      <c r="C2302" t="s">
        <v>4543</v>
      </c>
      <c r="D2302" t="s">
        <v>807</v>
      </c>
      <c r="E2302" t="s">
        <v>2102</v>
      </c>
      <c r="F2302" t="s">
        <v>4544</v>
      </c>
      <c r="G2302" t="str">
        <f>"00110098"</f>
        <v>00110098</v>
      </c>
      <c r="H2302" t="s">
        <v>842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30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>
        <v>0</v>
      </c>
      <c r="X2302">
        <v>0</v>
      </c>
      <c r="Y2302">
        <v>0</v>
      </c>
      <c r="Z2302">
        <v>0</v>
      </c>
      <c r="AA2302">
        <v>0</v>
      </c>
      <c r="AB2302" t="s">
        <v>4545</v>
      </c>
    </row>
    <row r="2303" spans="1:28" x14ac:dyDescent="0.25">
      <c r="H2303" t="s">
        <v>4546</v>
      </c>
    </row>
    <row r="2304" spans="1:28" x14ac:dyDescent="0.25">
      <c r="A2304">
        <v>1149</v>
      </c>
      <c r="B2304">
        <v>4796</v>
      </c>
      <c r="C2304" t="s">
        <v>4547</v>
      </c>
      <c r="D2304" t="s">
        <v>97</v>
      </c>
      <c r="E2304" t="s">
        <v>601</v>
      </c>
      <c r="F2304" t="s">
        <v>4548</v>
      </c>
      <c r="G2304" t="str">
        <f>"201409002224"</f>
        <v>201409002224</v>
      </c>
      <c r="H2304" t="s">
        <v>842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30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U2304">
        <v>0</v>
      </c>
      <c r="V2304">
        <v>0</v>
      </c>
      <c r="X2304">
        <v>0</v>
      </c>
      <c r="Y2304">
        <v>0</v>
      </c>
      <c r="Z2304">
        <v>0</v>
      </c>
      <c r="AA2304">
        <v>0</v>
      </c>
      <c r="AB2304" t="s">
        <v>4545</v>
      </c>
    </row>
    <row r="2305" spans="1:28" x14ac:dyDescent="0.25">
      <c r="H2305" t="s">
        <v>2219</v>
      </c>
    </row>
    <row r="2306" spans="1:28" x14ac:dyDescent="0.25">
      <c r="A2306">
        <v>1150</v>
      </c>
      <c r="B2306">
        <v>4772</v>
      </c>
      <c r="C2306" t="s">
        <v>4549</v>
      </c>
      <c r="D2306" t="s">
        <v>4550</v>
      </c>
      <c r="E2306" t="s">
        <v>39</v>
      </c>
      <c r="F2306" t="s">
        <v>4551</v>
      </c>
      <c r="G2306" t="str">
        <f>"00014236"</f>
        <v>00014236</v>
      </c>
      <c r="H2306" t="s">
        <v>3816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50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U2306">
        <v>0</v>
      </c>
      <c r="V2306">
        <v>0</v>
      </c>
      <c r="X2306">
        <v>1</v>
      </c>
      <c r="Y2306">
        <v>0</v>
      </c>
      <c r="Z2306">
        <v>0</v>
      </c>
      <c r="AA2306">
        <v>0</v>
      </c>
      <c r="AB2306" t="s">
        <v>4552</v>
      </c>
    </row>
    <row r="2307" spans="1:28" x14ac:dyDescent="0.25">
      <c r="H2307" t="s">
        <v>4553</v>
      </c>
    </row>
    <row r="2308" spans="1:28" x14ac:dyDescent="0.25">
      <c r="A2308">
        <v>1151</v>
      </c>
      <c r="B2308">
        <v>3875</v>
      </c>
      <c r="C2308" t="s">
        <v>4554</v>
      </c>
      <c r="D2308" t="s">
        <v>43</v>
      </c>
      <c r="E2308" t="s">
        <v>2011</v>
      </c>
      <c r="F2308" t="s">
        <v>4555</v>
      </c>
      <c r="G2308" t="str">
        <f>"200803000592"</f>
        <v>200803000592</v>
      </c>
      <c r="H2308">
        <v>671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30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>
        <v>0</v>
      </c>
      <c r="X2308">
        <v>0</v>
      </c>
      <c r="Y2308">
        <v>0</v>
      </c>
      <c r="Z2308">
        <v>0</v>
      </c>
      <c r="AA2308">
        <v>0</v>
      </c>
      <c r="AB2308">
        <v>701</v>
      </c>
    </row>
    <row r="2309" spans="1:28" x14ac:dyDescent="0.25">
      <c r="H2309" t="s">
        <v>4556</v>
      </c>
    </row>
    <row r="2310" spans="1:28" x14ac:dyDescent="0.25">
      <c r="A2310">
        <v>1152</v>
      </c>
      <c r="B2310">
        <v>1452</v>
      </c>
      <c r="C2310" t="s">
        <v>3219</v>
      </c>
      <c r="D2310" t="s">
        <v>19</v>
      </c>
      <c r="E2310" t="s">
        <v>311</v>
      </c>
      <c r="F2310" t="s">
        <v>4557</v>
      </c>
      <c r="G2310" t="str">
        <f>"00318301"</f>
        <v>00318301</v>
      </c>
      <c r="H2310">
        <v>671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30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>
        <v>0</v>
      </c>
      <c r="X2310">
        <v>0</v>
      </c>
      <c r="Y2310">
        <v>0</v>
      </c>
      <c r="Z2310">
        <v>0</v>
      </c>
      <c r="AA2310">
        <v>0</v>
      </c>
      <c r="AB2310">
        <v>701</v>
      </c>
    </row>
    <row r="2311" spans="1:28" x14ac:dyDescent="0.25">
      <c r="H2311" t="s">
        <v>4558</v>
      </c>
    </row>
    <row r="2312" spans="1:28" x14ac:dyDescent="0.25">
      <c r="A2312">
        <v>1153</v>
      </c>
      <c r="B2312">
        <v>2262</v>
      </c>
      <c r="C2312" t="s">
        <v>4559</v>
      </c>
      <c r="D2312" t="s">
        <v>4560</v>
      </c>
      <c r="E2312" t="s">
        <v>20</v>
      </c>
      <c r="F2312" t="s">
        <v>4561</v>
      </c>
      <c r="G2312" t="str">
        <f>"00316369"</f>
        <v>00316369</v>
      </c>
      <c r="H2312" t="s">
        <v>4454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70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>
        <v>0</v>
      </c>
      <c r="X2312">
        <v>0</v>
      </c>
      <c r="Y2312">
        <v>0</v>
      </c>
      <c r="Z2312">
        <v>0</v>
      </c>
      <c r="AA2312">
        <v>0</v>
      </c>
      <c r="AB2312" t="s">
        <v>4562</v>
      </c>
    </row>
    <row r="2313" spans="1:28" x14ac:dyDescent="0.25">
      <c r="H2313">
        <v>1009</v>
      </c>
    </row>
    <row r="2314" spans="1:28" x14ac:dyDescent="0.25">
      <c r="A2314">
        <v>1154</v>
      </c>
      <c r="B2314">
        <v>322</v>
      </c>
      <c r="C2314" t="s">
        <v>4563</v>
      </c>
      <c r="D2314" t="s">
        <v>4564</v>
      </c>
      <c r="E2314" t="s">
        <v>51</v>
      </c>
      <c r="F2314" t="s">
        <v>4565</v>
      </c>
      <c r="G2314" t="str">
        <f>"201406001363"</f>
        <v>201406001363</v>
      </c>
      <c r="H2314" t="s">
        <v>4454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70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0</v>
      </c>
      <c r="X2314">
        <v>0</v>
      </c>
      <c r="Y2314">
        <v>0</v>
      </c>
      <c r="Z2314">
        <v>0</v>
      </c>
      <c r="AA2314">
        <v>0</v>
      </c>
      <c r="AB2314" t="s">
        <v>4562</v>
      </c>
    </row>
    <row r="2315" spans="1:28" x14ac:dyDescent="0.25">
      <c r="H2315" t="s">
        <v>4566</v>
      </c>
    </row>
    <row r="2316" spans="1:28" x14ac:dyDescent="0.25">
      <c r="A2316">
        <v>1155</v>
      </c>
      <c r="B2316">
        <v>3122</v>
      </c>
      <c r="C2316" t="s">
        <v>4567</v>
      </c>
      <c r="D2316" t="s">
        <v>260</v>
      </c>
      <c r="E2316" t="s">
        <v>80</v>
      </c>
      <c r="F2316" t="s">
        <v>4568</v>
      </c>
      <c r="G2316" t="str">
        <f>"00294167"</f>
        <v>00294167</v>
      </c>
      <c r="H2316" t="s">
        <v>1888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30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>
        <v>0</v>
      </c>
      <c r="X2316">
        <v>0</v>
      </c>
      <c r="Y2316">
        <v>0</v>
      </c>
      <c r="Z2316">
        <v>0</v>
      </c>
      <c r="AA2316">
        <v>0</v>
      </c>
      <c r="AB2316" t="s">
        <v>4569</v>
      </c>
    </row>
    <row r="2317" spans="1:28" x14ac:dyDescent="0.25">
      <c r="H2317">
        <v>1009</v>
      </c>
    </row>
    <row r="2318" spans="1:28" x14ac:dyDescent="0.25">
      <c r="A2318">
        <v>1156</v>
      </c>
      <c r="B2318">
        <v>1115</v>
      </c>
      <c r="C2318" t="s">
        <v>1688</v>
      </c>
      <c r="D2318" t="s">
        <v>80</v>
      </c>
      <c r="E2318" t="s">
        <v>1652</v>
      </c>
      <c r="F2318" t="s">
        <v>4570</v>
      </c>
      <c r="G2318" t="str">
        <f>"00242817"</f>
        <v>00242817</v>
      </c>
      <c r="H2318" t="s">
        <v>2849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30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>
        <v>0</v>
      </c>
      <c r="X2318">
        <v>0</v>
      </c>
      <c r="Y2318">
        <v>0</v>
      </c>
      <c r="Z2318">
        <v>0</v>
      </c>
      <c r="AA2318">
        <v>0</v>
      </c>
      <c r="AB2318" t="s">
        <v>4571</v>
      </c>
    </row>
    <row r="2319" spans="1:28" x14ac:dyDescent="0.25">
      <c r="H2319" t="s">
        <v>4572</v>
      </c>
    </row>
    <row r="2320" spans="1:28" x14ac:dyDescent="0.25">
      <c r="A2320">
        <v>1157</v>
      </c>
      <c r="B2320">
        <v>3025</v>
      </c>
      <c r="C2320" t="s">
        <v>4573</v>
      </c>
      <c r="D2320" t="s">
        <v>187</v>
      </c>
      <c r="E2320" t="s">
        <v>38</v>
      </c>
      <c r="F2320" t="s">
        <v>4574</v>
      </c>
      <c r="G2320" t="str">
        <f>"201406013183"</f>
        <v>201406013183</v>
      </c>
      <c r="H2320" t="s">
        <v>2849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30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0</v>
      </c>
      <c r="X2320">
        <v>0</v>
      </c>
      <c r="Y2320">
        <v>0</v>
      </c>
      <c r="Z2320">
        <v>0</v>
      </c>
      <c r="AA2320">
        <v>0</v>
      </c>
      <c r="AB2320" t="s">
        <v>4571</v>
      </c>
    </row>
    <row r="2321" spans="1:28" x14ac:dyDescent="0.25">
      <c r="H2321" t="s">
        <v>4575</v>
      </c>
    </row>
    <row r="2322" spans="1:28" x14ac:dyDescent="0.25">
      <c r="A2322">
        <v>1158</v>
      </c>
      <c r="B2322">
        <v>4357</v>
      </c>
      <c r="C2322" t="s">
        <v>4576</v>
      </c>
      <c r="D2322" t="s">
        <v>218</v>
      </c>
      <c r="E2322" t="s">
        <v>14</v>
      </c>
      <c r="F2322" t="s">
        <v>4577</v>
      </c>
      <c r="G2322" t="str">
        <f>"201410010302"</f>
        <v>201410010302</v>
      </c>
      <c r="H2322" t="s">
        <v>2849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30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>
        <v>0</v>
      </c>
      <c r="X2322">
        <v>0</v>
      </c>
      <c r="Y2322">
        <v>0</v>
      </c>
      <c r="Z2322">
        <v>0</v>
      </c>
      <c r="AA2322">
        <v>0</v>
      </c>
      <c r="AB2322" t="s">
        <v>4571</v>
      </c>
    </row>
    <row r="2323" spans="1:28" x14ac:dyDescent="0.25">
      <c r="H2323">
        <v>1009</v>
      </c>
    </row>
    <row r="2324" spans="1:28" x14ac:dyDescent="0.25">
      <c r="A2324">
        <v>1159</v>
      </c>
      <c r="B2324">
        <v>3123</v>
      </c>
      <c r="C2324" t="s">
        <v>4578</v>
      </c>
      <c r="D2324" t="s">
        <v>488</v>
      </c>
      <c r="E2324" t="s">
        <v>20</v>
      </c>
      <c r="F2324" t="s">
        <v>4579</v>
      </c>
      <c r="G2324" t="str">
        <f>"00162591"</f>
        <v>00162591</v>
      </c>
      <c r="H2324" t="s">
        <v>2849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30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0</v>
      </c>
      <c r="X2324">
        <v>0</v>
      </c>
      <c r="Y2324">
        <v>0</v>
      </c>
      <c r="Z2324">
        <v>0</v>
      </c>
      <c r="AA2324">
        <v>0</v>
      </c>
      <c r="AB2324" t="s">
        <v>4571</v>
      </c>
    </row>
    <row r="2325" spans="1:28" x14ac:dyDescent="0.25">
      <c r="H2325" t="s">
        <v>4580</v>
      </c>
    </row>
    <row r="2326" spans="1:28" x14ac:dyDescent="0.25">
      <c r="A2326">
        <v>1160</v>
      </c>
      <c r="B2326">
        <v>3459</v>
      </c>
      <c r="C2326" t="s">
        <v>4581</v>
      </c>
      <c r="D2326" t="s">
        <v>311</v>
      </c>
      <c r="E2326" t="s">
        <v>14</v>
      </c>
      <c r="F2326" t="s">
        <v>4582</v>
      </c>
      <c r="G2326" t="str">
        <f>"00348672"</f>
        <v>00348672</v>
      </c>
      <c r="H2326" t="s">
        <v>4583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70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>
        <v>0</v>
      </c>
      <c r="X2326">
        <v>0</v>
      </c>
      <c r="Y2326">
        <v>0</v>
      </c>
      <c r="Z2326">
        <v>0</v>
      </c>
      <c r="AA2326">
        <v>0</v>
      </c>
      <c r="AB2326" t="s">
        <v>4584</v>
      </c>
    </row>
    <row r="2327" spans="1:28" x14ac:dyDescent="0.25">
      <c r="H2327" t="s">
        <v>4585</v>
      </c>
    </row>
    <row r="2328" spans="1:28" x14ac:dyDescent="0.25">
      <c r="A2328">
        <v>1161</v>
      </c>
      <c r="B2328">
        <v>5110</v>
      </c>
      <c r="C2328" t="s">
        <v>3864</v>
      </c>
      <c r="D2328" t="s">
        <v>306</v>
      </c>
      <c r="E2328" t="s">
        <v>311</v>
      </c>
      <c r="F2328" t="s">
        <v>4586</v>
      </c>
      <c r="G2328" t="str">
        <f>"00201890"</f>
        <v>00201890</v>
      </c>
      <c r="H2328" t="s">
        <v>1417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70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>
        <v>0</v>
      </c>
      <c r="X2328">
        <v>0</v>
      </c>
      <c r="Y2328">
        <v>0</v>
      </c>
      <c r="Z2328">
        <v>0</v>
      </c>
      <c r="AA2328">
        <v>0</v>
      </c>
      <c r="AB2328" t="s">
        <v>4587</v>
      </c>
    </row>
    <row r="2329" spans="1:28" x14ac:dyDescent="0.25">
      <c r="H2329" t="s">
        <v>4588</v>
      </c>
    </row>
    <row r="2330" spans="1:28" x14ac:dyDescent="0.25">
      <c r="A2330">
        <v>1162</v>
      </c>
      <c r="B2330">
        <v>812</v>
      </c>
      <c r="C2330" t="s">
        <v>4589</v>
      </c>
      <c r="D2330" t="s">
        <v>807</v>
      </c>
      <c r="E2330" t="s">
        <v>247</v>
      </c>
      <c r="F2330" t="s">
        <v>4590</v>
      </c>
      <c r="G2330" t="str">
        <f>"201406000927"</f>
        <v>201406000927</v>
      </c>
      <c r="H2330" t="s">
        <v>2184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30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>
        <v>0</v>
      </c>
      <c r="X2330">
        <v>0</v>
      </c>
      <c r="Y2330">
        <v>0</v>
      </c>
      <c r="Z2330">
        <v>0</v>
      </c>
      <c r="AA2330">
        <v>0</v>
      </c>
      <c r="AB2330" t="s">
        <v>4591</v>
      </c>
    </row>
    <row r="2331" spans="1:28" x14ac:dyDescent="0.25">
      <c r="H2331" t="s">
        <v>4592</v>
      </c>
    </row>
    <row r="2332" spans="1:28" x14ac:dyDescent="0.25">
      <c r="A2332">
        <v>1163</v>
      </c>
      <c r="B2332">
        <v>4861</v>
      </c>
      <c r="C2332" t="s">
        <v>98</v>
      </c>
      <c r="D2332" t="s">
        <v>4593</v>
      </c>
      <c r="E2332" t="s">
        <v>69</v>
      </c>
      <c r="F2332" t="s">
        <v>4594</v>
      </c>
      <c r="G2332" t="str">
        <f>"00201145"</f>
        <v>00201145</v>
      </c>
      <c r="H2332" t="s">
        <v>4595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30</v>
      </c>
      <c r="O2332">
        <v>0</v>
      </c>
      <c r="P2332">
        <v>30</v>
      </c>
      <c r="Q2332">
        <v>0</v>
      </c>
      <c r="R2332">
        <v>0</v>
      </c>
      <c r="S2332">
        <v>0</v>
      </c>
      <c r="T2332">
        <v>0</v>
      </c>
      <c r="U2332">
        <v>0</v>
      </c>
      <c r="V2332">
        <v>0</v>
      </c>
      <c r="X2332">
        <v>0</v>
      </c>
      <c r="Y2332">
        <v>0</v>
      </c>
      <c r="Z2332">
        <v>0</v>
      </c>
      <c r="AA2332">
        <v>0</v>
      </c>
      <c r="AB2332" t="s">
        <v>4596</v>
      </c>
    </row>
    <row r="2333" spans="1:28" x14ac:dyDescent="0.25">
      <c r="H2333" t="s">
        <v>4534</v>
      </c>
    </row>
    <row r="2334" spans="1:28" x14ac:dyDescent="0.25">
      <c r="A2334">
        <v>1164</v>
      </c>
      <c r="B2334">
        <v>880</v>
      </c>
      <c r="C2334" t="s">
        <v>4597</v>
      </c>
      <c r="D2334" t="s">
        <v>997</v>
      </c>
      <c r="E2334" t="s">
        <v>277</v>
      </c>
      <c r="F2334" t="s">
        <v>4598</v>
      </c>
      <c r="G2334" t="str">
        <f>"201406007077"</f>
        <v>201406007077</v>
      </c>
      <c r="H2334" t="s">
        <v>4599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70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>
        <v>0</v>
      </c>
      <c r="X2334">
        <v>0</v>
      </c>
      <c r="Y2334">
        <v>0</v>
      </c>
      <c r="Z2334">
        <v>0</v>
      </c>
      <c r="AA2334">
        <v>0</v>
      </c>
      <c r="AB2334" t="s">
        <v>4600</v>
      </c>
    </row>
    <row r="2335" spans="1:28" x14ac:dyDescent="0.25">
      <c r="H2335" t="s">
        <v>4601</v>
      </c>
    </row>
    <row r="2336" spans="1:28" x14ac:dyDescent="0.25">
      <c r="A2336">
        <v>1165</v>
      </c>
      <c r="B2336">
        <v>4666</v>
      </c>
      <c r="C2336" t="s">
        <v>4602</v>
      </c>
      <c r="D2336" t="s">
        <v>155</v>
      </c>
      <c r="E2336" t="s">
        <v>69</v>
      </c>
      <c r="F2336" t="s">
        <v>4603</v>
      </c>
      <c r="G2336" t="str">
        <f>"201510000681"</f>
        <v>201510000681</v>
      </c>
      <c r="H2336">
        <v>660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30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>
        <v>0</v>
      </c>
      <c r="X2336">
        <v>0</v>
      </c>
      <c r="Y2336">
        <v>0</v>
      </c>
      <c r="Z2336">
        <v>0</v>
      </c>
      <c r="AA2336">
        <v>0</v>
      </c>
      <c r="AB2336">
        <v>690</v>
      </c>
    </row>
    <row r="2337" spans="1:28" x14ac:dyDescent="0.25">
      <c r="H2337" t="s">
        <v>2219</v>
      </c>
    </row>
    <row r="2338" spans="1:28" x14ac:dyDescent="0.25">
      <c r="A2338">
        <v>1166</v>
      </c>
      <c r="B2338">
        <v>1779</v>
      </c>
      <c r="C2338" t="s">
        <v>4604</v>
      </c>
      <c r="D2338" t="s">
        <v>4605</v>
      </c>
      <c r="E2338" t="s">
        <v>869</v>
      </c>
      <c r="F2338" t="s">
        <v>4606</v>
      </c>
      <c r="G2338" t="str">
        <f>"00126358"</f>
        <v>00126358</v>
      </c>
      <c r="H2338">
        <v>660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30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>
        <v>0</v>
      </c>
      <c r="X2338">
        <v>0</v>
      </c>
      <c r="Y2338">
        <v>0</v>
      </c>
      <c r="Z2338">
        <v>0</v>
      </c>
      <c r="AA2338">
        <v>0</v>
      </c>
      <c r="AB2338">
        <v>690</v>
      </c>
    </row>
    <row r="2339" spans="1:28" x14ac:dyDescent="0.25">
      <c r="H2339">
        <v>1009</v>
      </c>
    </row>
    <row r="2340" spans="1:28" x14ac:dyDescent="0.25">
      <c r="A2340">
        <v>1167</v>
      </c>
      <c r="B2340">
        <v>366</v>
      </c>
      <c r="C2340" t="s">
        <v>4607</v>
      </c>
      <c r="D2340" t="s">
        <v>39</v>
      </c>
      <c r="E2340" t="s">
        <v>44</v>
      </c>
      <c r="F2340" t="s">
        <v>4608</v>
      </c>
      <c r="G2340" t="str">
        <f>"201602000046"</f>
        <v>201602000046</v>
      </c>
      <c r="H2340">
        <v>660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30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0</v>
      </c>
      <c r="V2340">
        <v>0</v>
      </c>
      <c r="X2340">
        <v>0</v>
      </c>
      <c r="Y2340">
        <v>0</v>
      </c>
      <c r="Z2340">
        <v>0</v>
      </c>
      <c r="AA2340">
        <v>0</v>
      </c>
      <c r="AB2340">
        <v>690</v>
      </c>
    </row>
    <row r="2341" spans="1:28" x14ac:dyDescent="0.25">
      <c r="H2341" t="s">
        <v>4146</v>
      </c>
    </row>
    <row r="2342" spans="1:28" x14ac:dyDescent="0.25">
      <c r="A2342">
        <v>1168</v>
      </c>
      <c r="B2342">
        <v>5178</v>
      </c>
      <c r="C2342" t="s">
        <v>4609</v>
      </c>
      <c r="D2342" t="s">
        <v>43</v>
      </c>
      <c r="E2342" t="s">
        <v>51</v>
      </c>
      <c r="F2342" t="s">
        <v>4610</v>
      </c>
      <c r="G2342" t="str">
        <f>"00369437"</f>
        <v>00369437</v>
      </c>
      <c r="H2342">
        <v>660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30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>
        <v>0</v>
      </c>
      <c r="X2342">
        <v>0</v>
      </c>
      <c r="Y2342">
        <v>0</v>
      </c>
      <c r="Z2342">
        <v>0</v>
      </c>
      <c r="AA2342">
        <v>0</v>
      </c>
      <c r="AB2342">
        <v>690</v>
      </c>
    </row>
    <row r="2343" spans="1:28" x14ac:dyDescent="0.25">
      <c r="H2343" t="s">
        <v>4611</v>
      </c>
    </row>
    <row r="2344" spans="1:28" x14ac:dyDescent="0.25">
      <c r="A2344">
        <v>1169</v>
      </c>
      <c r="B2344">
        <v>3171</v>
      </c>
      <c r="C2344" t="s">
        <v>4612</v>
      </c>
      <c r="D2344" t="s">
        <v>4613</v>
      </c>
      <c r="E2344" t="s">
        <v>155</v>
      </c>
      <c r="F2344" t="s">
        <v>4614</v>
      </c>
      <c r="G2344" t="str">
        <f>"00226171"</f>
        <v>00226171</v>
      </c>
      <c r="H2344" t="s">
        <v>335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30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>
        <v>0</v>
      </c>
      <c r="X2344">
        <v>0</v>
      </c>
      <c r="Y2344">
        <v>0</v>
      </c>
      <c r="Z2344">
        <v>0</v>
      </c>
      <c r="AA2344">
        <v>0</v>
      </c>
      <c r="AB2344" t="s">
        <v>4615</v>
      </c>
    </row>
    <row r="2345" spans="1:28" x14ac:dyDescent="0.25">
      <c r="H2345" t="s">
        <v>4616</v>
      </c>
    </row>
    <row r="2346" spans="1:28" x14ac:dyDescent="0.25">
      <c r="A2346">
        <v>1170</v>
      </c>
      <c r="B2346">
        <v>2630</v>
      </c>
      <c r="C2346" t="s">
        <v>4617</v>
      </c>
      <c r="D2346" t="s">
        <v>51</v>
      </c>
      <c r="E2346" t="s">
        <v>109</v>
      </c>
      <c r="F2346" t="s">
        <v>4618</v>
      </c>
      <c r="G2346" t="str">
        <f>"201406004634"</f>
        <v>201406004634</v>
      </c>
      <c r="H2346" t="s">
        <v>2296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30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0</v>
      </c>
      <c r="X2346">
        <v>0</v>
      </c>
      <c r="Y2346">
        <v>0</v>
      </c>
      <c r="Z2346">
        <v>0</v>
      </c>
      <c r="AA2346">
        <v>0</v>
      </c>
      <c r="AB2346" t="s">
        <v>4619</v>
      </c>
    </row>
    <row r="2347" spans="1:28" x14ac:dyDescent="0.25">
      <c r="H2347" t="s">
        <v>4620</v>
      </c>
    </row>
    <row r="2348" spans="1:28" x14ac:dyDescent="0.25">
      <c r="A2348">
        <v>1171</v>
      </c>
      <c r="B2348">
        <v>3344</v>
      </c>
      <c r="C2348" t="s">
        <v>4621</v>
      </c>
      <c r="D2348" t="s">
        <v>20</v>
      </c>
      <c r="E2348" t="s">
        <v>38</v>
      </c>
      <c r="F2348" t="s">
        <v>4622</v>
      </c>
      <c r="G2348" t="str">
        <f>"00356094"</f>
        <v>00356094</v>
      </c>
      <c r="H2348" t="s">
        <v>2296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30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>
        <v>0</v>
      </c>
      <c r="X2348">
        <v>0</v>
      </c>
      <c r="Y2348">
        <v>0</v>
      </c>
      <c r="Z2348">
        <v>0</v>
      </c>
      <c r="AA2348">
        <v>0</v>
      </c>
      <c r="AB2348" t="s">
        <v>4619</v>
      </c>
    </row>
    <row r="2349" spans="1:28" x14ac:dyDescent="0.25">
      <c r="H2349" t="s">
        <v>4623</v>
      </c>
    </row>
    <row r="2350" spans="1:28" x14ac:dyDescent="0.25">
      <c r="A2350">
        <v>1172</v>
      </c>
      <c r="B2350">
        <v>282</v>
      </c>
      <c r="C2350" t="s">
        <v>4624</v>
      </c>
      <c r="D2350" t="s">
        <v>179</v>
      </c>
      <c r="E2350" t="s">
        <v>393</v>
      </c>
      <c r="F2350" t="s">
        <v>4625</v>
      </c>
      <c r="G2350" t="str">
        <f>"201406001959"</f>
        <v>201406001959</v>
      </c>
      <c r="H2350" t="s">
        <v>2296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30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0</v>
      </c>
      <c r="X2350">
        <v>0</v>
      </c>
      <c r="Y2350">
        <v>0</v>
      </c>
      <c r="Z2350">
        <v>0</v>
      </c>
      <c r="AA2350">
        <v>0</v>
      </c>
      <c r="AB2350" t="s">
        <v>4619</v>
      </c>
    </row>
    <row r="2351" spans="1:28" x14ac:dyDescent="0.25">
      <c r="H2351" t="s">
        <v>4626</v>
      </c>
    </row>
    <row r="2352" spans="1:28" x14ac:dyDescent="0.25">
      <c r="A2352">
        <v>1173</v>
      </c>
      <c r="B2352">
        <v>5010</v>
      </c>
      <c r="C2352" t="s">
        <v>4627</v>
      </c>
      <c r="D2352" t="s">
        <v>43</v>
      </c>
      <c r="E2352" t="s">
        <v>155</v>
      </c>
      <c r="F2352" t="s">
        <v>4628</v>
      </c>
      <c r="G2352" t="str">
        <f>"201410004383"</f>
        <v>201410004383</v>
      </c>
      <c r="H2352" t="s">
        <v>4523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30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>
        <v>0</v>
      </c>
      <c r="X2352">
        <v>0</v>
      </c>
      <c r="Y2352">
        <v>0</v>
      </c>
      <c r="Z2352">
        <v>0</v>
      </c>
      <c r="AA2352">
        <v>0</v>
      </c>
      <c r="AB2352" t="s">
        <v>4629</v>
      </c>
    </row>
    <row r="2353" spans="1:28" x14ac:dyDescent="0.25">
      <c r="H2353" t="s">
        <v>4630</v>
      </c>
    </row>
    <row r="2354" spans="1:28" x14ac:dyDescent="0.25">
      <c r="A2354">
        <v>1174</v>
      </c>
      <c r="B2354">
        <v>2509</v>
      </c>
      <c r="C2354" t="s">
        <v>2602</v>
      </c>
      <c r="D2354" t="s">
        <v>762</v>
      </c>
      <c r="E2354" t="s">
        <v>155</v>
      </c>
      <c r="F2354" t="s">
        <v>4631</v>
      </c>
      <c r="G2354" t="str">
        <f>"00198799"</f>
        <v>00198799</v>
      </c>
      <c r="H2354" t="s">
        <v>4523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30</v>
      </c>
      <c r="O2354">
        <v>0</v>
      </c>
      <c r="P2354">
        <v>0</v>
      </c>
      <c r="Q2354">
        <v>0</v>
      </c>
      <c r="R2354">
        <v>0</v>
      </c>
      <c r="S2354">
        <v>0</v>
      </c>
      <c r="T2354">
        <v>0</v>
      </c>
      <c r="U2354">
        <v>0</v>
      </c>
      <c r="V2354">
        <v>0</v>
      </c>
      <c r="X2354">
        <v>0</v>
      </c>
      <c r="Y2354">
        <v>0</v>
      </c>
      <c r="Z2354">
        <v>0</v>
      </c>
      <c r="AA2354">
        <v>0</v>
      </c>
      <c r="AB2354" t="s">
        <v>4629</v>
      </c>
    </row>
    <row r="2355" spans="1:28" x14ac:dyDescent="0.25">
      <c r="H2355" t="s">
        <v>4632</v>
      </c>
    </row>
    <row r="2356" spans="1:28" x14ac:dyDescent="0.25">
      <c r="A2356">
        <v>1175</v>
      </c>
      <c r="B2356">
        <v>1045</v>
      </c>
      <c r="C2356" t="s">
        <v>4633</v>
      </c>
      <c r="D2356" t="s">
        <v>187</v>
      </c>
      <c r="E2356" t="s">
        <v>50</v>
      </c>
      <c r="F2356" t="s">
        <v>4634</v>
      </c>
      <c r="G2356" t="str">
        <f>"00209033"</f>
        <v>00209033</v>
      </c>
      <c r="H2356" t="s">
        <v>4523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30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>
        <v>0</v>
      </c>
      <c r="X2356">
        <v>0</v>
      </c>
      <c r="Y2356">
        <v>0</v>
      </c>
      <c r="Z2356">
        <v>0</v>
      </c>
      <c r="AA2356">
        <v>0</v>
      </c>
      <c r="AB2356" t="s">
        <v>4629</v>
      </c>
    </row>
    <row r="2357" spans="1:28" x14ac:dyDescent="0.25">
      <c r="H2357" t="s">
        <v>4635</v>
      </c>
    </row>
    <row r="2358" spans="1:28" x14ac:dyDescent="0.25">
      <c r="A2358">
        <v>1176</v>
      </c>
      <c r="B2358">
        <v>3350</v>
      </c>
      <c r="C2358" t="s">
        <v>4636</v>
      </c>
      <c r="D2358" t="s">
        <v>339</v>
      </c>
      <c r="E2358" t="s">
        <v>155</v>
      </c>
      <c r="F2358" t="s">
        <v>4637</v>
      </c>
      <c r="G2358" t="str">
        <f>"00119237"</f>
        <v>00119237</v>
      </c>
      <c r="H2358" t="s">
        <v>4523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30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>
        <v>0</v>
      </c>
      <c r="X2358">
        <v>0</v>
      </c>
      <c r="Y2358">
        <v>0</v>
      </c>
      <c r="Z2358">
        <v>0</v>
      </c>
      <c r="AA2358">
        <v>0</v>
      </c>
      <c r="AB2358" t="s">
        <v>4629</v>
      </c>
    </row>
    <row r="2359" spans="1:28" x14ac:dyDescent="0.25">
      <c r="H2359">
        <v>1009</v>
      </c>
    </row>
    <row r="2360" spans="1:28" x14ac:dyDescent="0.25">
      <c r="A2360">
        <v>1177</v>
      </c>
      <c r="B2360">
        <v>203</v>
      </c>
      <c r="C2360" t="s">
        <v>4638</v>
      </c>
      <c r="D2360" t="s">
        <v>26</v>
      </c>
      <c r="E2360" t="s">
        <v>930</v>
      </c>
      <c r="F2360" t="s">
        <v>4639</v>
      </c>
      <c r="G2360" t="str">
        <f>"00228707"</f>
        <v>00228707</v>
      </c>
      <c r="H2360" t="s">
        <v>4523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30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>
        <v>0</v>
      </c>
      <c r="X2360">
        <v>0</v>
      </c>
      <c r="Y2360">
        <v>0</v>
      </c>
      <c r="Z2360">
        <v>0</v>
      </c>
      <c r="AA2360">
        <v>0</v>
      </c>
      <c r="AB2360" t="s">
        <v>4629</v>
      </c>
    </row>
    <row r="2361" spans="1:28" x14ac:dyDescent="0.25">
      <c r="H2361" t="s">
        <v>4640</v>
      </c>
    </row>
    <row r="2362" spans="1:28" x14ac:dyDescent="0.25">
      <c r="A2362">
        <v>1178</v>
      </c>
      <c r="B2362">
        <v>3733</v>
      </c>
      <c r="C2362" t="s">
        <v>4641</v>
      </c>
      <c r="D2362" t="s">
        <v>97</v>
      </c>
      <c r="E2362" t="s">
        <v>4642</v>
      </c>
      <c r="F2362" t="s">
        <v>4643</v>
      </c>
      <c r="G2362" t="str">
        <f>"00159238"</f>
        <v>00159238</v>
      </c>
      <c r="H2362" t="s">
        <v>484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30</v>
      </c>
      <c r="O2362">
        <v>0</v>
      </c>
      <c r="P2362">
        <v>30</v>
      </c>
      <c r="Q2362">
        <v>0</v>
      </c>
      <c r="R2362">
        <v>0</v>
      </c>
      <c r="S2362">
        <v>0</v>
      </c>
      <c r="T2362">
        <v>0</v>
      </c>
      <c r="U2362">
        <v>0</v>
      </c>
      <c r="V2362">
        <v>0</v>
      </c>
      <c r="X2362">
        <v>0</v>
      </c>
      <c r="Y2362">
        <v>0</v>
      </c>
      <c r="Z2362">
        <v>0</v>
      </c>
      <c r="AA2362">
        <v>0</v>
      </c>
      <c r="AB2362" t="s">
        <v>4644</v>
      </c>
    </row>
    <row r="2363" spans="1:28" x14ac:dyDescent="0.25">
      <c r="H2363">
        <v>1009</v>
      </c>
    </row>
    <row r="2364" spans="1:28" x14ac:dyDescent="0.25">
      <c r="A2364">
        <v>1179</v>
      </c>
      <c r="B2364">
        <v>4329</v>
      </c>
      <c r="C2364" t="s">
        <v>1674</v>
      </c>
      <c r="D2364" t="s">
        <v>155</v>
      </c>
      <c r="E2364" t="s">
        <v>51</v>
      </c>
      <c r="F2364" t="s">
        <v>4645</v>
      </c>
      <c r="G2364" t="str">
        <f>"201107000001"</f>
        <v>201107000001</v>
      </c>
      <c r="H2364" t="s">
        <v>2568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50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>
        <v>0</v>
      </c>
      <c r="X2364">
        <v>0</v>
      </c>
      <c r="Y2364">
        <v>0</v>
      </c>
      <c r="Z2364">
        <v>0</v>
      </c>
      <c r="AA2364">
        <v>0</v>
      </c>
      <c r="AB2364" t="s">
        <v>4646</v>
      </c>
    </row>
    <row r="2365" spans="1:28" x14ac:dyDescent="0.25">
      <c r="H2365" t="s">
        <v>4647</v>
      </c>
    </row>
    <row r="2366" spans="1:28" x14ac:dyDescent="0.25">
      <c r="A2366">
        <v>1180</v>
      </c>
      <c r="B2366">
        <v>1028</v>
      </c>
      <c r="C2366" t="s">
        <v>4358</v>
      </c>
      <c r="D2366" t="s">
        <v>15</v>
      </c>
      <c r="E2366" t="s">
        <v>51</v>
      </c>
      <c r="F2366" t="s">
        <v>4648</v>
      </c>
      <c r="G2366" t="str">
        <f>"200804000019"</f>
        <v>200804000019</v>
      </c>
      <c r="H2366">
        <v>682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>
        <v>0</v>
      </c>
      <c r="X2366">
        <v>0</v>
      </c>
      <c r="Y2366">
        <v>0</v>
      </c>
      <c r="Z2366">
        <v>0</v>
      </c>
      <c r="AA2366">
        <v>0</v>
      </c>
      <c r="AB2366">
        <v>682</v>
      </c>
    </row>
    <row r="2367" spans="1:28" x14ac:dyDescent="0.25">
      <c r="H2367" t="s">
        <v>4649</v>
      </c>
    </row>
    <row r="2368" spans="1:28" x14ac:dyDescent="0.25">
      <c r="A2368">
        <v>1181</v>
      </c>
      <c r="B2368">
        <v>441</v>
      </c>
      <c r="C2368" t="s">
        <v>4650</v>
      </c>
      <c r="D2368" t="s">
        <v>458</v>
      </c>
      <c r="E2368" t="s">
        <v>1036</v>
      </c>
      <c r="F2368" t="s">
        <v>4651</v>
      </c>
      <c r="G2368" t="str">
        <f>"00297942"</f>
        <v>00297942</v>
      </c>
      <c r="H2368" t="s">
        <v>3816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30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>
        <v>0</v>
      </c>
      <c r="X2368">
        <v>0</v>
      </c>
      <c r="Y2368">
        <v>0</v>
      </c>
      <c r="Z2368">
        <v>0</v>
      </c>
      <c r="AA2368">
        <v>0</v>
      </c>
      <c r="AB2368" t="s">
        <v>4652</v>
      </c>
    </row>
    <row r="2369" spans="1:28" x14ac:dyDescent="0.25">
      <c r="H2369" t="s">
        <v>3727</v>
      </c>
    </row>
    <row r="2370" spans="1:28" x14ac:dyDescent="0.25">
      <c r="A2370">
        <v>1182</v>
      </c>
      <c r="B2370">
        <v>700</v>
      </c>
      <c r="C2370" t="s">
        <v>4653</v>
      </c>
      <c r="D2370" t="s">
        <v>70</v>
      </c>
      <c r="E2370" t="s">
        <v>1036</v>
      </c>
      <c r="F2370" t="s">
        <v>4654</v>
      </c>
      <c r="G2370" t="str">
        <f>"00123928"</f>
        <v>00123928</v>
      </c>
      <c r="H2370" t="s">
        <v>3816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30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>
        <v>0</v>
      </c>
      <c r="X2370">
        <v>0</v>
      </c>
      <c r="Y2370">
        <v>0</v>
      </c>
      <c r="Z2370">
        <v>0</v>
      </c>
      <c r="AA2370">
        <v>0</v>
      </c>
      <c r="AB2370" t="s">
        <v>4652</v>
      </c>
    </row>
    <row r="2371" spans="1:28" x14ac:dyDescent="0.25">
      <c r="H2371" t="s">
        <v>4655</v>
      </c>
    </row>
    <row r="2372" spans="1:28" x14ac:dyDescent="0.25">
      <c r="A2372">
        <v>1183</v>
      </c>
      <c r="B2372">
        <v>1038</v>
      </c>
      <c r="C2372" t="s">
        <v>4656</v>
      </c>
      <c r="D2372" t="s">
        <v>117</v>
      </c>
      <c r="E2372" t="s">
        <v>14</v>
      </c>
      <c r="F2372" t="s">
        <v>4657</v>
      </c>
      <c r="G2372" t="str">
        <f>"00228058"</f>
        <v>00228058</v>
      </c>
      <c r="H2372" t="s">
        <v>3816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30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>
        <v>0</v>
      </c>
      <c r="X2372">
        <v>0</v>
      </c>
      <c r="Y2372">
        <v>0</v>
      </c>
      <c r="Z2372">
        <v>0</v>
      </c>
      <c r="AA2372">
        <v>0</v>
      </c>
      <c r="AB2372" t="s">
        <v>4652</v>
      </c>
    </row>
    <row r="2373" spans="1:28" x14ac:dyDescent="0.25">
      <c r="H2373" t="s">
        <v>4658</v>
      </c>
    </row>
    <row r="2374" spans="1:28" x14ac:dyDescent="0.25">
      <c r="A2374">
        <v>1184</v>
      </c>
      <c r="B2374">
        <v>4788</v>
      </c>
      <c r="C2374" t="s">
        <v>4659</v>
      </c>
      <c r="D2374" t="s">
        <v>50</v>
      </c>
      <c r="E2374" t="s">
        <v>20</v>
      </c>
      <c r="F2374" t="s">
        <v>4660</v>
      </c>
      <c r="G2374" t="str">
        <f>"00080460"</f>
        <v>00080460</v>
      </c>
      <c r="H2374" t="s">
        <v>1105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30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0</v>
      </c>
      <c r="X2374">
        <v>0</v>
      </c>
      <c r="Y2374">
        <v>0</v>
      </c>
      <c r="Z2374">
        <v>0</v>
      </c>
      <c r="AA2374">
        <v>0</v>
      </c>
      <c r="AB2374" t="s">
        <v>4661</v>
      </c>
    </row>
    <row r="2375" spans="1:28" x14ac:dyDescent="0.25">
      <c r="H2375" t="s">
        <v>4662</v>
      </c>
    </row>
    <row r="2376" spans="1:28" x14ac:dyDescent="0.25">
      <c r="A2376">
        <v>1185</v>
      </c>
      <c r="B2376">
        <v>4151</v>
      </c>
      <c r="C2376" t="s">
        <v>4663</v>
      </c>
      <c r="D2376" t="s">
        <v>277</v>
      </c>
      <c r="E2376" t="s">
        <v>2578</v>
      </c>
      <c r="F2376" t="s">
        <v>4664</v>
      </c>
      <c r="G2376" t="str">
        <f>"201304005562"</f>
        <v>201304005562</v>
      </c>
      <c r="H2376" t="s">
        <v>1105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30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0</v>
      </c>
      <c r="X2376">
        <v>0</v>
      </c>
      <c r="Y2376">
        <v>0</v>
      </c>
      <c r="Z2376">
        <v>0</v>
      </c>
      <c r="AA2376">
        <v>0</v>
      </c>
      <c r="AB2376" t="s">
        <v>4661</v>
      </c>
    </row>
    <row r="2377" spans="1:28" x14ac:dyDescent="0.25">
      <c r="H2377" t="s">
        <v>575</v>
      </c>
    </row>
    <row r="2378" spans="1:28" x14ac:dyDescent="0.25">
      <c r="A2378">
        <v>1186</v>
      </c>
      <c r="B2378">
        <v>4970</v>
      </c>
      <c r="C2378" t="s">
        <v>4665</v>
      </c>
      <c r="D2378" t="s">
        <v>43</v>
      </c>
      <c r="E2378" t="s">
        <v>44</v>
      </c>
      <c r="F2378" t="s">
        <v>4666</v>
      </c>
      <c r="G2378" t="str">
        <f>"00360162"</f>
        <v>00360162</v>
      </c>
      <c r="H2378" t="s">
        <v>1456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30</v>
      </c>
      <c r="O2378">
        <v>30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0</v>
      </c>
      <c r="X2378">
        <v>0</v>
      </c>
      <c r="Y2378">
        <v>0</v>
      </c>
      <c r="Z2378">
        <v>0</v>
      </c>
      <c r="AA2378">
        <v>0</v>
      </c>
      <c r="AB2378" t="s">
        <v>4667</v>
      </c>
    </row>
    <row r="2379" spans="1:28" x14ac:dyDescent="0.25">
      <c r="H2379">
        <v>1009</v>
      </c>
    </row>
    <row r="2380" spans="1:28" x14ac:dyDescent="0.25">
      <c r="A2380">
        <v>1187</v>
      </c>
      <c r="B2380">
        <v>1856</v>
      </c>
      <c r="C2380" t="s">
        <v>4668</v>
      </c>
      <c r="D2380" t="s">
        <v>14</v>
      </c>
      <c r="E2380" t="s">
        <v>869</v>
      </c>
      <c r="F2380" t="s">
        <v>4669</v>
      </c>
      <c r="G2380" t="str">
        <f>"201304001951"</f>
        <v>201304001951</v>
      </c>
      <c r="H2380">
        <v>649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30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0</v>
      </c>
      <c r="X2380">
        <v>1</v>
      </c>
      <c r="Y2380">
        <v>0</v>
      </c>
      <c r="Z2380">
        <v>0</v>
      </c>
      <c r="AA2380">
        <v>0</v>
      </c>
      <c r="AB2380">
        <v>679</v>
      </c>
    </row>
    <row r="2381" spans="1:28" x14ac:dyDescent="0.25">
      <c r="H2381" t="s">
        <v>4670</v>
      </c>
    </row>
    <row r="2382" spans="1:28" x14ac:dyDescent="0.25">
      <c r="A2382">
        <v>1188</v>
      </c>
      <c r="B2382">
        <v>405</v>
      </c>
      <c r="C2382" t="s">
        <v>4671</v>
      </c>
      <c r="D2382" t="s">
        <v>4672</v>
      </c>
      <c r="E2382" t="s">
        <v>98</v>
      </c>
      <c r="F2382" t="s">
        <v>4673</v>
      </c>
      <c r="G2382" t="str">
        <f>"201406012040"</f>
        <v>201406012040</v>
      </c>
      <c r="H2382" t="s">
        <v>2277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30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>
        <v>0</v>
      </c>
      <c r="X2382">
        <v>0</v>
      </c>
      <c r="Y2382">
        <v>0</v>
      </c>
      <c r="Z2382">
        <v>0</v>
      </c>
      <c r="AA2382">
        <v>0</v>
      </c>
      <c r="AB2382" t="s">
        <v>4674</v>
      </c>
    </row>
    <row r="2383" spans="1:28" x14ac:dyDescent="0.25">
      <c r="H2383" t="s">
        <v>4675</v>
      </c>
    </row>
    <row r="2384" spans="1:28" x14ac:dyDescent="0.25">
      <c r="A2384">
        <v>1189</v>
      </c>
      <c r="B2384">
        <v>1042</v>
      </c>
      <c r="C2384" t="s">
        <v>4676</v>
      </c>
      <c r="D2384" t="s">
        <v>1795</v>
      </c>
      <c r="E2384" t="s">
        <v>51</v>
      </c>
      <c r="F2384" t="s">
        <v>4677</v>
      </c>
      <c r="G2384" t="str">
        <f>"00088218"</f>
        <v>00088218</v>
      </c>
      <c r="H2384" t="s">
        <v>2733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30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>
        <v>0</v>
      </c>
      <c r="X2384">
        <v>0</v>
      </c>
      <c r="Y2384">
        <v>0</v>
      </c>
      <c r="Z2384">
        <v>0</v>
      </c>
      <c r="AA2384">
        <v>0</v>
      </c>
      <c r="AB2384" t="s">
        <v>4678</v>
      </c>
    </row>
    <row r="2385" spans="1:28" x14ac:dyDescent="0.25">
      <c r="H2385" t="s">
        <v>4679</v>
      </c>
    </row>
    <row r="2386" spans="1:28" x14ac:dyDescent="0.25">
      <c r="A2386">
        <v>1190</v>
      </c>
      <c r="B2386">
        <v>930</v>
      </c>
      <c r="C2386" t="s">
        <v>4680</v>
      </c>
      <c r="D2386" t="s">
        <v>265</v>
      </c>
      <c r="E2386" t="s">
        <v>117</v>
      </c>
      <c r="F2386" t="s">
        <v>4681</v>
      </c>
      <c r="G2386" t="str">
        <f>"201008000061"</f>
        <v>201008000061</v>
      </c>
      <c r="H2386" t="s">
        <v>2050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0</v>
      </c>
      <c r="X2386">
        <v>0</v>
      </c>
      <c r="Y2386">
        <v>0</v>
      </c>
      <c r="Z2386">
        <v>0</v>
      </c>
      <c r="AA2386">
        <v>0</v>
      </c>
      <c r="AB2386" t="s">
        <v>4682</v>
      </c>
    </row>
    <row r="2387" spans="1:28" x14ac:dyDescent="0.25">
      <c r="H2387" t="s">
        <v>4683</v>
      </c>
    </row>
    <row r="2388" spans="1:28" x14ac:dyDescent="0.25">
      <c r="A2388">
        <v>1191</v>
      </c>
      <c r="B2388">
        <v>2725</v>
      </c>
      <c r="C2388" t="s">
        <v>4684</v>
      </c>
      <c r="D2388" t="s">
        <v>4685</v>
      </c>
      <c r="E2388" t="s">
        <v>80</v>
      </c>
      <c r="F2388" t="s">
        <v>4686</v>
      </c>
      <c r="G2388" t="str">
        <f>"201409005165"</f>
        <v>201409005165</v>
      </c>
      <c r="H2388" t="s">
        <v>2752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30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0</v>
      </c>
      <c r="V2388">
        <v>0</v>
      </c>
      <c r="X2388">
        <v>0</v>
      </c>
      <c r="Y2388">
        <v>0</v>
      </c>
      <c r="Z2388">
        <v>0</v>
      </c>
      <c r="AA2388">
        <v>0</v>
      </c>
      <c r="AB2388" t="s">
        <v>4687</v>
      </c>
    </row>
    <row r="2389" spans="1:28" x14ac:dyDescent="0.25">
      <c r="H2389" t="s">
        <v>4688</v>
      </c>
    </row>
    <row r="2390" spans="1:28" x14ac:dyDescent="0.25">
      <c r="A2390">
        <v>1192</v>
      </c>
      <c r="B2390">
        <v>1699</v>
      </c>
      <c r="C2390" t="s">
        <v>4689</v>
      </c>
      <c r="D2390" t="s">
        <v>20</v>
      </c>
      <c r="E2390" t="s">
        <v>80</v>
      </c>
      <c r="F2390" t="s">
        <v>4690</v>
      </c>
      <c r="G2390" t="str">
        <f>"00241207"</f>
        <v>00241207</v>
      </c>
      <c r="H2390" t="s">
        <v>2752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30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>
        <v>0</v>
      </c>
      <c r="X2390">
        <v>1</v>
      </c>
      <c r="Y2390">
        <v>0</v>
      </c>
      <c r="Z2390">
        <v>0</v>
      </c>
      <c r="AA2390">
        <v>0</v>
      </c>
      <c r="AB2390" t="s">
        <v>4687</v>
      </c>
    </row>
    <row r="2391" spans="1:28" x14ac:dyDescent="0.25">
      <c r="H2391" t="s">
        <v>4691</v>
      </c>
    </row>
    <row r="2392" spans="1:28" x14ac:dyDescent="0.25">
      <c r="A2392">
        <v>1193</v>
      </c>
      <c r="B2392">
        <v>2095</v>
      </c>
      <c r="C2392" t="s">
        <v>4692</v>
      </c>
      <c r="D2392" t="s">
        <v>179</v>
      </c>
      <c r="E2392" t="s">
        <v>155</v>
      </c>
      <c r="F2392" t="s">
        <v>4693</v>
      </c>
      <c r="G2392" t="str">
        <f>"201406014458"</f>
        <v>201406014458</v>
      </c>
      <c r="H2392" t="s">
        <v>4694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30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>
        <v>0</v>
      </c>
      <c r="X2392">
        <v>0</v>
      </c>
      <c r="Y2392">
        <v>0</v>
      </c>
      <c r="Z2392">
        <v>0</v>
      </c>
      <c r="AA2392">
        <v>0</v>
      </c>
      <c r="AB2392" t="s">
        <v>4695</v>
      </c>
    </row>
    <row r="2393" spans="1:28" x14ac:dyDescent="0.25">
      <c r="H2393" t="s">
        <v>4696</v>
      </c>
    </row>
    <row r="2394" spans="1:28" x14ac:dyDescent="0.25">
      <c r="A2394">
        <v>1194</v>
      </c>
      <c r="B2394">
        <v>4777</v>
      </c>
      <c r="C2394" t="s">
        <v>4697</v>
      </c>
      <c r="D2394" t="s">
        <v>4698</v>
      </c>
      <c r="E2394" t="s">
        <v>155</v>
      </c>
      <c r="F2394" t="s">
        <v>4699</v>
      </c>
      <c r="G2394" t="str">
        <f>"201304005962"</f>
        <v>201304005962</v>
      </c>
      <c r="H2394" t="s">
        <v>4700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50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0</v>
      </c>
      <c r="X2394">
        <v>0</v>
      </c>
      <c r="Y2394">
        <v>0</v>
      </c>
      <c r="Z2394">
        <v>0</v>
      </c>
      <c r="AA2394">
        <v>0</v>
      </c>
      <c r="AB2394" t="s">
        <v>4701</v>
      </c>
    </row>
    <row r="2395" spans="1:28" x14ac:dyDescent="0.25">
      <c r="H2395" t="s">
        <v>4702</v>
      </c>
    </row>
    <row r="2396" spans="1:28" x14ac:dyDescent="0.25">
      <c r="A2396">
        <v>1195</v>
      </c>
      <c r="B2396">
        <v>5301</v>
      </c>
      <c r="C2396" t="s">
        <v>4703</v>
      </c>
      <c r="D2396" t="s">
        <v>587</v>
      </c>
      <c r="E2396" t="s">
        <v>51</v>
      </c>
      <c r="F2396" t="s">
        <v>4704</v>
      </c>
      <c r="G2396" t="str">
        <f>"00227693"</f>
        <v>00227693</v>
      </c>
      <c r="H2396" t="s">
        <v>1443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30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>
        <v>0</v>
      </c>
      <c r="X2396">
        <v>0</v>
      </c>
      <c r="Y2396">
        <v>0</v>
      </c>
      <c r="Z2396">
        <v>0</v>
      </c>
      <c r="AA2396">
        <v>0</v>
      </c>
      <c r="AB2396" t="s">
        <v>4705</v>
      </c>
    </row>
    <row r="2397" spans="1:28" x14ac:dyDescent="0.25">
      <c r="H2397" t="s">
        <v>4706</v>
      </c>
    </row>
    <row r="2398" spans="1:28" x14ac:dyDescent="0.25">
      <c r="A2398">
        <v>1196</v>
      </c>
      <c r="B2398">
        <v>5057</v>
      </c>
      <c r="C2398" t="s">
        <v>4707</v>
      </c>
      <c r="D2398" t="s">
        <v>333</v>
      </c>
      <c r="E2398" t="s">
        <v>311</v>
      </c>
      <c r="F2398" t="s">
        <v>4708</v>
      </c>
      <c r="G2398" t="str">
        <f>"00158683"</f>
        <v>00158683</v>
      </c>
      <c r="H2398" t="s">
        <v>1443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>
        <v>0</v>
      </c>
      <c r="X2398">
        <v>0</v>
      </c>
      <c r="Y2398">
        <v>0</v>
      </c>
      <c r="Z2398">
        <v>0</v>
      </c>
      <c r="AA2398">
        <v>0</v>
      </c>
      <c r="AB2398" t="s">
        <v>4705</v>
      </c>
    </row>
    <row r="2399" spans="1:28" x14ac:dyDescent="0.25">
      <c r="H2399" t="s">
        <v>4709</v>
      </c>
    </row>
    <row r="2400" spans="1:28" x14ac:dyDescent="0.25">
      <c r="A2400">
        <v>1197</v>
      </c>
      <c r="B2400">
        <v>4289</v>
      </c>
      <c r="C2400" t="s">
        <v>4710</v>
      </c>
      <c r="D2400" t="s">
        <v>155</v>
      </c>
      <c r="E2400" t="s">
        <v>417</v>
      </c>
      <c r="F2400" t="s">
        <v>4711</v>
      </c>
      <c r="G2400" t="str">
        <f>"201406014814"</f>
        <v>201406014814</v>
      </c>
      <c r="H2400" t="s">
        <v>3043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0</v>
      </c>
      <c r="X2400">
        <v>0</v>
      </c>
      <c r="Y2400">
        <v>0</v>
      </c>
      <c r="Z2400">
        <v>0</v>
      </c>
      <c r="AA2400">
        <v>0</v>
      </c>
      <c r="AB2400" t="s">
        <v>4712</v>
      </c>
    </row>
    <row r="2401" spans="1:28" x14ac:dyDescent="0.25">
      <c r="H2401" t="s">
        <v>1195</v>
      </c>
    </row>
    <row r="2402" spans="1:28" x14ac:dyDescent="0.25">
      <c r="A2402">
        <v>1198</v>
      </c>
      <c r="B2402">
        <v>596</v>
      </c>
      <c r="C2402" t="s">
        <v>4713</v>
      </c>
      <c r="D2402" t="s">
        <v>4714</v>
      </c>
      <c r="E2402" t="s">
        <v>69</v>
      </c>
      <c r="F2402" t="s">
        <v>4715</v>
      </c>
      <c r="G2402" t="str">
        <f>"201406011879"</f>
        <v>201406011879</v>
      </c>
      <c r="H2402">
        <v>638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30</v>
      </c>
      <c r="O2402">
        <v>0</v>
      </c>
      <c r="P2402">
        <v>0</v>
      </c>
      <c r="Q2402">
        <v>0</v>
      </c>
      <c r="R2402">
        <v>0</v>
      </c>
      <c r="S2402">
        <v>0</v>
      </c>
      <c r="T2402">
        <v>0</v>
      </c>
      <c r="U2402">
        <v>0</v>
      </c>
      <c r="V2402">
        <v>0</v>
      </c>
      <c r="X2402">
        <v>0</v>
      </c>
      <c r="Y2402">
        <v>0</v>
      </c>
      <c r="Z2402">
        <v>0</v>
      </c>
      <c r="AA2402">
        <v>0</v>
      </c>
      <c r="AB2402">
        <v>668</v>
      </c>
    </row>
    <row r="2403" spans="1:28" x14ac:dyDescent="0.25">
      <c r="H2403" t="s">
        <v>4716</v>
      </c>
    </row>
    <row r="2404" spans="1:28" x14ac:dyDescent="0.25">
      <c r="A2404">
        <v>1199</v>
      </c>
      <c r="B2404">
        <v>3207</v>
      </c>
      <c r="C2404" t="s">
        <v>4717</v>
      </c>
      <c r="D2404" t="s">
        <v>155</v>
      </c>
      <c r="E2404" t="s">
        <v>14</v>
      </c>
      <c r="F2404" t="s">
        <v>4718</v>
      </c>
      <c r="G2404" t="str">
        <f>"201304001257"</f>
        <v>201304001257</v>
      </c>
      <c r="H2404" t="s">
        <v>4719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30</v>
      </c>
      <c r="O2404">
        <v>0</v>
      </c>
      <c r="P2404">
        <v>30</v>
      </c>
      <c r="Q2404">
        <v>0</v>
      </c>
      <c r="R2404">
        <v>0</v>
      </c>
      <c r="S2404">
        <v>0</v>
      </c>
      <c r="T2404">
        <v>0</v>
      </c>
      <c r="U2404">
        <v>0</v>
      </c>
      <c r="V2404">
        <v>0</v>
      </c>
      <c r="X2404">
        <v>0</v>
      </c>
      <c r="Y2404">
        <v>0</v>
      </c>
      <c r="Z2404">
        <v>0</v>
      </c>
      <c r="AA2404">
        <v>0</v>
      </c>
      <c r="AB2404" t="s">
        <v>4720</v>
      </c>
    </row>
    <row r="2405" spans="1:28" x14ac:dyDescent="0.25">
      <c r="H2405">
        <v>1009</v>
      </c>
    </row>
    <row r="2406" spans="1:28" x14ac:dyDescent="0.25">
      <c r="A2406">
        <v>1200</v>
      </c>
      <c r="B2406">
        <v>4601</v>
      </c>
      <c r="C2406" t="s">
        <v>4721</v>
      </c>
      <c r="D2406" t="s">
        <v>4722</v>
      </c>
      <c r="E2406" t="s">
        <v>2772</v>
      </c>
      <c r="F2406" t="s">
        <v>4723</v>
      </c>
      <c r="G2406" t="str">
        <f>"201406007983"</f>
        <v>201406007983</v>
      </c>
      <c r="H2406" t="s">
        <v>573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30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>
        <v>0</v>
      </c>
      <c r="X2406">
        <v>0</v>
      </c>
      <c r="Y2406">
        <v>0</v>
      </c>
      <c r="Z2406">
        <v>0</v>
      </c>
      <c r="AA2406">
        <v>0</v>
      </c>
      <c r="AB2406" t="s">
        <v>4724</v>
      </c>
    </row>
    <row r="2407" spans="1:28" x14ac:dyDescent="0.25">
      <c r="H2407" t="s">
        <v>4725</v>
      </c>
    </row>
    <row r="2408" spans="1:28" x14ac:dyDescent="0.25">
      <c r="A2408">
        <v>1201</v>
      </c>
      <c r="B2408">
        <v>3041</v>
      </c>
      <c r="C2408" t="s">
        <v>4726</v>
      </c>
      <c r="D2408" t="s">
        <v>4727</v>
      </c>
      <c r="E2408" t="s">
        <v>218</v>
      </c>
      <c r="F2408" t="s">
        <v>4728</v>
      </c>
      <c r="G2408" t="str">
        <f>"201409005600"</f>
        <v>201409005600</v>
      </c>
      <c r="H2408" t="s">
        <v>2375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>
        <v>0</v>
      </c>
      <c r="X2408">
        <v>0</v>
      </c>
      <c r="Y2408">
        <v>0</v>
      </c>
      <c r="Z2408">
        <v>0</v>
      </c>
      <c r="AA2408">
        <v>0</v>
      </c>
      <c r="AB2408" t="s">
        <v>2375</v>
      </c>
    </row>
    <row r="2409" spans="1:28" x14ac:dyDescent="0.25">
      <c r="H2409" t="s">
        <v>4729</v>
      </c>
    </row>
    <row r="2410" spans="1:28" x14ac:dyDescent="0.25">
      <c r="A2410">
        <v>1202</v>
      </c>
      <c r="B2410">
        <v>3278</v>
      </c>
      <c r="C2410" t="s">
        <v>4730</v>
      </c>
      <c r="D2410" t="s">
        <v>38</v>
      </c>
      <c r="E2410" t="s">
        <v>51</v>
      </c>
      <c r="F2410" t="s">
        <v>4731</v>
      </c>
      <c r="G2410" t="str">
        <f>"00122986"</f>
        <v>00122986</v>
      </c>
      <c r="H2410" t="s">
        <v>2805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30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>
        <v>0</v>
      </c>
      <c r="X2410">
        <v>0</v>
      </c>
      <c r="Y2410">
        <v>0</v>
      </c>
      <c r="Z2410">
        <v>0</v>
      </c>
      <c r="AA2410">
        <v>0</v>
      </c>
      <c r="AB2410" t="s">
        <v>4732</v>
      </c>
    </row>
    <row r="2411" spans="1:28" x14ac:dyDescent="0.25">
      <c r="H2411" t="s">
        <v>4733</v>
      </c>
    </row>
    <row r="2412" spans="1:28" x14ac:dyDescent="0.25">
      <c r="A2412">
        <v>1203</v>
      </c>
      <c r="B2412">
        <v>2665</v>
      </c>
      <c r="C2412" t="s">
        <v>4734</v>
      </c>
      <c r="D2412" t="s">
        <v>1006</v>
      </c>
      <c r="E2412" t="s">
        <v>98</v>
      </c>
      <c r="F2412" t="s">
        <v>4735</v>
      </c>
      <c r="G2412" t="str">
        <f>"201402011672"</f>
        <v>201402011672</v>
      </c>
      <c r="H2412" t="s">
        <v>2568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30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0</v>
      </c>
      <c r="X2412">
        <v>0</v>
      </c>
      <c r="Y2412">
        <v>0</v>
      </c>
      <c r="Z2412">
        <v>0</v>
      </c>
      <c r="AA2412">
        <v>0</v>
      </c>
      <c r="AB2412" t="s">
        <v>4736</v>
      </c>
    </row>
    <row r="2413" spans="1:28" x14ac:dyDescent="0.25">
      <c r="H2413" t="s">
        <v>4737</v>
      </c>
    </row>
    <row r="2414" spans="1:28" x14ac:dyDescent="0.25">
      <c r="A2414">
        <v>1204</v>
      </c>
      <c r="B2414">
        <v>2068</v>
      </c>
      <c r="C2414" t="s">
        <v>4738</v>
      </c>
      <c r="D2414" t="s">
        <v>14</v>
      </c>
      <c r="E2414" t="s">
        <v>155</v>
      </c>
      <c r="F2414" t="s">
        <v>4739</v>
      </c>
      <c r="G2414" t="str">
        <f>"00138303"</f>
        <v>00138303</v>
      </c>
      <c r="H2414" t="s">
        <v>4740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>
        <v>0</v>
      </c>
      <c r="X2414">
        <v>0</v>
      </c>
      <c r="Y2414">
        <v>0</v>
      </c>
      <c r="Z2414">
        <v>0</v>
      </c>
      <c r="AA2414">
        <v>0</v>
      </c>
      <c r="AB2414" t="s">
        <v>4741</v>
      </c>
    </row>
    <row r="2415" spans="1:28" x14ac:dyDescent="0.25">
      <c r="H2415" t="s">
        <v>4742</v>
      </c>
    </row>
    <row r="2416" spans="1:28" x14ac:dyDescent="0.25">
      <c r="A2416">
        <v>1205</v>
      </c>
      <c r="B2416">
        <v>1499</v>
      </c>
      <c r="C2416" t="s">
        <v>115</v>
      </c>
      <c r="D2416" t="s">
        <v>84</v>
      </c>
      <c r="E2416" t="s">
        <v>2772</v>
      </c>
      <c r="F2416" t="s">
        <v>4743</v>
      </c>
      <c r="G2416" t="str">
        <f>"00297179"</f>
        <v>00297179</v>
      </c>
      <c r="H2416" t="s">
        <v>4740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30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>
        <v>0</v>
      </c>
      <c r="X2416">
        <v>0</v>
      </c>
      <c r="Y2416">
        <v>0</v>
      </c>
      <c r="Z2416">
        <v>0</v>
      </c>
      <c r="AA2416">
        <v>0</v>
      </c>
      <c r="AB2416" t="s">
        <v>4741</v>
      </c>
    </row>
    <row r="2417" spans="1:28" x14ac:dyDescent="0.25">
      <c r="H2417" t="s">
        <v>4696</v>
      </c>
    </row>
    <row r="2418" spans="1:28" x14ac:dyDescent="0.25">
      <c r="A2418">
        <v>1206</v>
      </c>
      <c r="B2418">
        <v>5194</v>
      </c>
      <c r="C2418" t="s">
        <v>4744</v>
      </c>
      <c r="D2418" t="s">
        <v>80</v>
      </c>
      <c r="E2418" t="s">
        <v>212</v>
      </c>
      <c r="F2418" t="s">
        <v>4745</v>
      </c>
      <c r="G2418" t="str">
        <f>"00241515"</f>
        <v>00241515</v>
      </c>
      <c r="H2418" t="s">
        <v>4595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30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>
        <v>0</v>
      </c>
      <c r="X2418">
        <v>0</v>
      </c>
      <c r="Y2418">
        <v>0</v>
      </c>
      <c r="Z2418">
        <v>0</v>
      </c>
      <c r="AA2418">
        <v>0</v>
      </c>
      <c r="AB2418" t="s">
        <v>4746</v>
      </c>
    </row>
    <row r="2419" spans="1:28" x14ac:dyDescent="0.25">
      <c r="H2419" t="s">
        <v>4747</v>
      </c>
    </row>
    <row r="2420" spans="1:28" x14ac:dyDescent="0.25">
      <c r="A2420">
        <v>1207</v>
      </c>
      <c r="B2420">
        <v>2341</v>
      </c>
      <c r="C2420" t="s">
        <v>4748</v>
      </c>
      <c r="D2420" t="s">
        <v>179</v>
      </c>
      <c r="E2420" t="s">
        <v>311</v>
      </c>
      <c r="F2420" t="s">
        <v>4749</v>
      </c>
      <c r="G2420" t="str">
        <f>"201410009925"</f>
        <v>201410009925</v>
      </c>
      <c r="H2420" t="s">
        <v>2893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70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>
        <v>0</v>
      </c>
      <c r="X2420">
        <v>0</v>
      </c>
      <c r="Y2420">
        <v>0</v>
      </c>
      <c r="Z2420">
        <v>0</v>
      </c>
      <c r="AA2420">
        <v>0</v>
      </c>
      <c r="AB2420" t="s">
        <v>4750</v>
      </c>
    </row>
    <row r="2421" spans="1:28" x14ac:dyDescent="0.25">
      <c r="H2421" t="s">
        <v>4751</v>
      </c>
    </row>
    <row r="2422" spans="1:28" x14ac:dyDescent="0.25">
      <c r="A2422">
        <v>1208</v>
      </c>
      <c r="B2422">
        <v>3972</v>
      </c>
      <c r="C2422" t="s">
        <v>4752</v>
      </c>
      <c r="D2422" t="s">
        <v>4753</v>
      </c>
      <c r="E2422" t="s">
        <v>38</v>
      </c>
      <c r="F2422" t="s">
        <v>4754</v>
      </c>
      <c r="G2422" t="str">
        <f>"00228656"</f>
        <v>00228656</v>
      </c>
      <c r="H2422">
        <v>627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30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0</v>
      </c>
      <c r="X2422">
        <v>0</v>
      </c>
      <c r="Y2422">
        <v>0</v>
      </c>
      <c r="Z2422">
        <v>0</v>
      </c>
      <c r="AA2422">
        <v>0</v>
      </c>
      <c r="AB2422">
        <v>657</v>
      </c>
    </row>
    <row r="2423" spans="1:28" x14ac:dyDescent="0.25">
      <c r="H2423" t="s">
        <v>4755</v>
      </c>
    </row>
    <row r="2424" spans="1:28" x14ac:dyDescent="0.25">
      <c r="A2424">
        <v>1209</v>
      </c>
      <c r="B2424">
        <v>2942</v>
      </c>
      <c r="C2424" t="s">
        <v>4756</v>
      </c>
      <c r="D2424" t="s">
        <v>277</v>
      </c>
      <c r="E2424" t="s">
        <v>311</v>
      </c>
      <c r="F2424" t="s">
        <v>4757</v>
      </c>
      <c r="G2424" t="str">
        <f>"200802012191"</f>
        <v>200802012191</v>
      </c>
      <c r="H2424" t="s">
        <v>4583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30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>
        <v>0</v>
      </c>
      <c r="X2424">
        <v>0</v>
      </c>
      <c r="Y2424">
        <v>0</v>
      </c>
      <c r="Z2424">
        <v>0</v>
      </c>
      <c r="AA2424">
        <v>0</v>
      </c>
      <c r="AB2424" t="s">
        <v>4758</v>
      </c>
    </row>
    <row r="2425" spans="1:28" x14ac:dyDescent="0.25">
      <c r="H2425" t="s">
        <v>4759</v>
      </c>
    </row>
    <row r="2426" spans="1:28" x14ac:dyDescent="0.25">
      <c r="A2426">
        <v>1210</v>
      </c>
      <c r="B2426">
        <v>319</v>
      </c>
      <c r="C2426" t="s">
        <v>4760</v>
      </c>
      <c r="D2426" t="s">
        <v>110</v>
      </c>
      <c r="E2426" t="s">
        <v>14</v>
      </c>
      <c r="F2426" t="s">
        <v>4761</v>
      </c>
      <c r="G2426" t="str">
        <f>"00246977"</f>
        <v>00246977</v>
      </c>
      <c r="H2426">
        <v>605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50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>
        <v>0</v>
      </c>
      <c r="X2426">
        <v>0</v>
      </c>
      <c r="Y2426">
        <v>0</v>
      </c>
      <c r="Z2426">
        <v>0</v>
      </c>
      <c r="AA2426">
        <v>0</v>
      </c>
      <c r="AB2426">
        <v>655</v>
      </c>
    </row>
    <row r="2427" spans="1:28" x14ac:dyDescent="0.25">
      <c r="H2427" t="s">
        <v>4762</v>
      </c>
    </row>
    <row r="2428" spans="1:28" x14ac:dyDescent="0.25">
      <c r="A2428">
        <v>1211</v>
      </c>
      <c r="B2428">
        <v>5167</v>
      </c>
      <c r="C2428" t="s">
        <v>4763</v>
      </c>
      <c r="D2428" t="s">
        <v>350</v>
      </c>
      <c r="E2428" t="s">
        <v>20</v>
      </c>
      <c r="F2428" t="s">
        <v>4764</v>
      </c>
      <c r="G2428" t="str">
        <f>"00122856"</f>
        <v>00122856</v>
      </c>
      <c r="H2428" t="s">
        <v>1417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30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>
        <v>0</v>
      </c>
      <c r="X2428">
        <v>0</v>
      </c>
      <c r="Y2428">
        <v>0</v>
      </c>
      <c r="Z2428">
        <v>0</v>
      </c>
      <c r="AA2428">
        <v>0</v>
      </c>
      <c r="AB2428" t="s">
        <v>4765</v>
      </c>
    </row>
    <row r="2429" spans="1:28" x14ac:dyDescent="0.25">
      <c r="H2429" t="s">
        <v>4766</v>
      </c>
    </row>
    <row r="2430" spans="1:28" x14ac:dyDescent="0.25">
      <c r="A2430">
        <v>1212</v>
      </c>
      <c r="B2430">
        <v>2160</v>
      </c>
      <c r="C2430" t="s">
        <v>4767</v>
      </c>
      <c r="D2430" t="s">
        <v>155</v>
      </c>
      <c r="E2430" t="s">
        <v>519</v>
      </c>
      <c r="F2430" t="s">
        <v>4768</v>
      </c>
      <c r="G2430" t="str">
        <f>"200805000634"</f>
        <v>200805000634</v>
      </c>
      <c r="H2430" t="s">
        <v>4700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30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0</v>
      </c>
      <c r="X2430">
        <v>0</v>
      </c>
      <c r="Y2430">
        <v>0</v>
      </c>
      <c r="Z2430">
        <v>0</v>
      </c>
      <c r="AA2430">
        <v>0</v>
      </c>
      <c r="AB2430" t="s">
        <v>4769</v>
      </c>
    </row>
    <row r="2431" spans="1:28" x14ac:dyDescent="0.25">
      <c r="H2431" t="s">
        <v>4770</v>
      </c>
    </row>
    <row r="2432" spans="1:28" x14ac:dyDescent="0.25">
      <c r="A2432">
        <v>1213</v>
      </c>
      <c r="B2432">
        <v>1148</v>
      </c>
      <c r="C2432" t="s">
        <v>4771</v>
      </c>
      <c r="D2432" t="s">
        <v>70</v>
      </c>
      <c r="E2432" t="s">
        <v>937</v>
      </c>
      <c r="F2432" t="s">
        <v>4772</v>
      </c>
      <c r="G2432" t="str">
        <f>"201604005776"</f>
        <v>201604005776</v>
      </c>
      <c r="H2432">
        <v>550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70</v>
      </c>
      <c r="O2432">
        <v>0</v>
      </c>
      <c r="P2432">
        <v>30</v>
      </c>
      <c r="Q2432">
        <v>0</v>
      </c>
      <c r="R2432">
        <v>0</v>
      </c>
      <c r="S2432">
        <v>0</v>
      </c>
      <c r="T2432">
        <v>0</v>
      </c>
      <c r="U2432">
        <v>0</v>
      </c>
      <c r="V2432">
        <v>0</v>
      </c>
      <c r="X2432">
        <v>0</v>
      </c>
      <c r="Y2432">
        <v>0</v>
      </c>
      <c r="Z2432">
        <v>0</v>
      </c>
      <c r="AA2432">
        <v>0</v>
      </c>
      <c r="AB2432">
        <v>650</v>
      </c>
    </row>
    <row r="2433" spans="1:28" x14ac:dyDescent="0.25">
      <c r="H2433" t="s">
        <v>4773</v>
      </c>
    </row>
    <row r="2434" spans="1:28" x14ac:dyDescent="0.25">
      <c r="A2434">
        <v>1214</v>
      </c>
      <c r="B2434">
        <v>2515</v>
      </c>
      <c r="C2434" t="s">
        <v>4774</v>
      </c>
      <c r="D2434" t="s">
        <v>44</v>
      </c>
      <c r="E2434" t="s">
        <v>38</v>
      </c>
      <c r="F2434" t="s">
        <v>4775</v>
      </c>
      <c r="G2434" t="str">
        <f>"00241216"</f>
        <v>00241216</v>
      </c>
      <c r="H2434">
        <v>616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30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0</v>
      </c>
      <c r="X2434">
        <v>0</v>
      </c>
      <c r="Y2434">
        <v>0</v>
      </c>
      <c r="Z2434">
        <v>0</v>
      </c>
      <c r="AA2434">
        <v>0</v>
      </c>
      <c r="AB2434">
        <v>646</v>
      </c>
    </row>
    <row r="2435" spans="1:28" x14ac:dyDescent="0.25">
      <c r="H2435" t="s">
        <v>4776</v>
      </c>
    </row>
    <row r="2436" spans="1:28" x14ac:dyDescent="0.25">
      <c r="A2436">
        <v>1215</v>
      </c>
      <c r="B2436">
        <v>4371</v>
      </c>
      <c r="C2436" t="s">
        <v>4777</v>
      </c>
      <c r="D2436" t="s">
        <v>44</v>
      </c>
      <c r="E2436" t="s">
        <v>758</v>
      </c>
      <c r="F2436" t="s">
        <v>4778</v>
      </c>
      <c r="G2436" t="str">
        <f>"201103000200"</f>
        <v>201103000200</v>
      </c>
      <c r="H2436" t="s">
        <v>4466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30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0</v>
      </c>
      <c r="X2436">
        <v>0</v>
      </c>
      <c r="Y2436">
        <v>0</v>
      </c>
      <c r="Z2436">
        <v>0</v>
      </c>
      <c r="AA2436">
        <v>0</v>
      </c>
      <c r="AB2436" t="s">
        <v>4779</v>
      </c>
    </row>
    <row r="2437" spans="1:28" x14ac:dyDescent="0.25">
      <c r="H2437" t="s">
        <v>4780</v>
      </c>
    </row>
    <row r="2438" spans="1:28" x14ac:dyDescent="0.25">
      <c r="A2438">
        <v>1216</v>
      </c>
      <c r="B2438">
        <v>5331</v>
      </c>
      <c r="C2438" t="s">
        <v>4781</v>
      </c>
      <c r="D2438" t="s">
        <v>1329</v>
      </c>
      <c r="E2438" t="s">
        <v>155</v>
      </c>
      <c r="F2438" t="s">
        <v>4782</v>
      </c>
      <c r="G2438" t="str">
        <f>"00136871"</f>
        <v>00136871</v>
      </c>
      <c r="H2438">
        <v>605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30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0</v>
      </c>
      <c r="X2438">
        <v>0</v>
      </c>
      <c r="Y2438">
        <v>0</v>
      </c>
      <c r="Z2438">
        <v>0</v>
      </c>
      <c r="AA2438">
        <v>0</v>
      </c>
      <c r="AB2438">
        <v>635</v>
      </c>
    </row>
    <row r="2439" spans="1:28" x14ac:dyDescent="0.25">
      <c r="H2439" t="s">
        <v>4783</v>
      </c>
    </row>
    <row r="2440" spans="1:28" x14ac:dyDescent="0.25">
      <c r="A2440">
        <v>1217</v>
      </c>
      <c r="B2440">
        <v>3186</v>
      </c>
      <c r="C2440" t="s">
        <v>4784</v>
      </c>
      <c r="D2440" t="s">
        <v>84</v>
      </c>
      <c r="E2440" t="s">
        <v>20</v>
      </c>
      <c r="F2440" t="s">
        <v>4785</v>
      </c>
      <c r="G2440" t="str">
        <f>"201406010255"</f>
        <v>201406010255</v>
      </c>
      <c r="H2440" t="s">
        <v>4786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30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>
        <v>0</v>
      </c>
      <c r="X2440">
        <v>0</v>
      </c>
      <c r="Y2440">
        <v>0</v>
      </c>
      <c r="Z2440">
        <v>0</v>
      </c>
      <c r="AA2440">
        <v>0</v>
      </c>
      <c r="AB2440" t="s">
        <v>4787</v>
      </c>
    </row>
    <row r="2441" spans="1:28" x14ac:dyDescent="0.25">
      <c r="H2441" t="s">
        <v>4788</v>
      </c>
    </row>
    <row r="2442" spans="1:28" x14ac:dyDescent="0.25">
      <c r="A2442">
        <v>1218</v>
      </c>
      <c r="B2442">
        <v>138</v>
      </c>
      <c r="C2442" t="s">
        <v>4789</v>
      </c>
      <c r="D2442" t="s">
        <v>20</v>
      </c>
      <c r="E2442" t="s">
        <v>14</v>
      </c>
      <c r="F2442" t="s">
        <v>4790</v>
      </c>
      <c r="G2442" t="str">
        <f>"201410001914"</f>
        <v>201410001914</v>
      </c>
      <c r="H2442" t="s">
        <v>4791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30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0</v>
      </c>
      <c r="X2442">
        <v>0</v>
      </c>
      <c r="Y2442">
        <v>0</v>
      </c>
      <c r="Z2442">
        <v>0</v>
      </c>
      <c r="AA2442">
        <v>0</v>
      </c>
      <c r="AB2442" t="s">
        <v>4792</v>
      </c>
    </row>
    <row r="2443" spans="1:28" x14ac:dyDescent="0.25">
      <c r="H2443" t="s">
        <v>4793</v>
      </c>
    </row>
    <row r="2444" spans="1:28" x14ac:dyDescent="0.25">
      <c r="A2444">
        <v>1219</v>
      </c>
      <c r="B2444">
        <v>4154</v>
      </c>
      <c r="C2444" t="s">
        <v>4794</v>
      </c>
      <c r="D2444" t="s">
        <v>44</v>
      </c>
      <c r="E2444" t="s">
        <v>393</v>
      </c>
      <c r="F2444" t="s">
        <v>4795</v>
      </c>
      <c r="G2444" t="str">
        <f>"201406010168"</f>
        <v>201406010168</v>
      </c>
      <c r="H2444">
        <v>550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70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0</v>
      </c>
      <c r="U2444">
        <v>0</v>
      </c>
      <c r="V2444">
        <v>0</v>
      </c>
      <c r="X2444">
        <v>0</v>
      </c>
      <c r="Y2444">
        <v>0</v>
      </c>
      <c r="Z2444">
        <v>0</v>
      </c>
      <c r="AA2444">
        <v>0</v>
      </c>
      <c r="AB2444">
        <v>620</v>
      </c>
    </row>
    <row r="2445" spans="1:28" x14ac:dyDescent="0.25">
      <c r="H2445" t="s">
        <v>4796</v>
      </c>
    </row>
    <row r="2446" spans="1:28" x14ac:dyDescent="0.25">
      <c r="A2446">
        <v>1220</v>
      </c>
      <c r="B2446">
        <v>3580</v>
      </c>
      <c r="C2446" t="s">
        <v>1661</v>
      </c>
      <c r="D2446" t="s">
        <v>187</v>
      </c>
      <c r="E2446" t="s">
        <v>51</v>
      </c>
      <c r="F2446" t="s">
        <v>4797</v>
      </c>
      <c r="G2446" t="str">
        <f>"00356468"</f>
        <v>00356468</v>
      </c>
      <c r="H2446" t="s">
        <v>3128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30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>
        <v>0</v>
      </c>
      <c r="X2446">
        <v>0</v>
      </c>
      <c r="Y2446">
        <v>0</v>
      </c>
      <c r="Z2446">
        <v>0</v>
      </c>
      <c r="AA2446">
        <v>0</v>
      </c>
      <c r="AB2446" t="s">
        <v>4798</v>
      </c>
    </row>
    <row r="2447" spans="1:28" x14ac:dyDescent="0.25">
      <c r="H2447" t="s">
        <v>4799</v>
      </c>
    </row>
    <row r="2448" spans="1:28" x14ac:dyDescent="0.25">
      <c r="A2448">
        <v>1221</v>
      </c>
      <c r="B2448">
        <v>3658</v>
      </c>
      <c r="C2448" t="s">
        <v>4800</v>
      </c>
      <c r="D2448" t="s">
        <v>39</v>
      </c>
      <c r="E2448" t="s">
        <v>44</v>
      </c>
      <c r="F2448" t="s">
        <v>4801</v>
      </c>
      <c r="G2448" t="str">
        <f>"00264477"</f>
        <v>00264477</v>
      </c>
      <c r="H2448">
        <v>550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30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>
        <v>0</v>
      </c>
      <c r="X2448">
        <v>0</v>
      </c>
      <c r="Y2448">
        <v>0</v>
      </c>
      <c r="Z2448">
        <v>0</v>
      </c>
      <c r="AA2448">
        <v>0</v>
      </c>
      <c r="AB2448">
        <v>580</v>
      </c>
    </row>
    <row r="2449" spans="1:8" x14ac:dyDescent="0.25">
      <c r="H2449" t="s">
        <v>4802</v>
      </c>
    </row>
    <row r="2451" spans="1:8" x14ac:dyDescent="0.25">
      <c r="A2451" t="s">
        <v>4803</v>
      </c>
    </row>
    <row r="2452" spans="1:8" x14ac:dyDescent="0.25">
      <c r="A2452" t="s">
        <v>4804</v>
      </c>
    </row>
    <row r="2453" spans="1:8" x14ac:dyDescent="0.25">
      <c r="A2453" t="s">
        <v>4805</v>
      </c>
    </row>
    <row r="2454" spans="1:8" x14ac:dyDescent="0.25">
      <c r="A2454" t="s">
        <v>4806</v>
      </c>
    </row>
    <row r="2455" spans="1:8" x14ac:dyDescent="0.25">
      <c r="A2455" t="s">
        <v>4807</v>
      </c>
    </row>
    <row r="2456" spans="1:8" x14ac:dyDescent="0.25">
      <c r="A2456" t="s">
        <v>4808</v>
      </c>
    </row>
    <row r="2457" spans="1:8" x14ac:dyDescent="0.25">
      <c r="A2457" t="s">
        <v>4809</v>
      </c>
    </row>
    <row r="2458" spans="1:8" x14ac:dyDescent="0.25">
      <c r="A2458" t="s">
        <v>4810</v>
      </c>
    </row>
    <row r="2459" spans="1:8" x14ac:dyDescent="0.25">
      <c r="A2459" t="s">
        <v>4811</v>
      </c>
    </row>
    <row r="2460" spans="1:8" x14ac:dyDescent="0.25">
      <c r="A2460" t="s">
        <v>4812</v>
      </c>
    </row>
    <row r="2461" spans="1:8" x14ac:dyDescent="0.25">
      <c r="A2461" t="s">
        <v>4813</v>
      </c>
    </row>
    <row r="2462" spans="1:8" x14ac:dyDescent="0.25">
      <c r="A2462" t="s">
        <v>4814</v>
      </c>
    </row>
    <row r="2463" spans="1:8" x14ac:dyDescent="0.25">
      <c r="A2463" t="s">
        <v>4815</v>
      </c>
    </row>
    <row r="2464" spans="1:8" x14ac:dyDescent="0.25">
      <c r="A2464" t="s">
        <v>4816</v>
      </c>
    </row>
    <row r="2465" spans="1:1" x14ac:dyDescent="0.25">
      <c r="A2465" t="s">
        <v>4817</v>
      </c>
    </row>
    <row r="2466" spans="1:1" x14ac:dyDescent="0.25">
      <c r="A2466" t="s">
        <v>4818</v>
      </c>
    </row>
    <row r="2467" spans="1:1" x14ac:dyDescent="0.25">
      <c r="A2467" t="s">
        <v>4819</v>
      </c>
    </row>
    <row r="2468" spans="1:1" x14ac:dyDescent="0.25">
      <c r="A2468" t="s">
        <v>4820</v>
      </c>
    </row>
    <row r="2469" spans="1:1" x14ac:dyDescent="0.25">
      <c r="A2469" t="s">
        <v>4821</v>
      </c>
    </row>
    <row r="2470" spans="1:1" x14ac:dyDescent="0.25">
      <c r="A2470" t="s">
        <v>4822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2018-03-28T09:12:26Z</dcterms:created>
  <dcterms:modified xsi:type="dcterms:W3CDTF">2018-03-28T09:12:33Z</dcterms:modified>
</cp:coreProperties>
</file>